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Owner\OneDrive\Desktop\"/>
    </mc:Choice>
  </mc:AlternateContent>
  <xr:revisionPtr revIDLastSave="0" documentId="13_ncr:1_{A7F3FAA1-4E15-4970-A7D9-118BD02ADCC6}" xr6:coauthVersionLast="47" xr6:coauthVersionMax="47" xr10:uidLastSave="{00000000-0000-0000-0000-000000000000}"/>
  <bookViews>
    <workbookView xWindow="15" yWindow="0" windowWidth="28785" windowHeight="15600" xr2:uid="{00000000-000D-0000-FFFF-FFFF00000000}"/>
  </bookViews>
  <sheets>
    <sheet name="2022 actual budget" sheetId="2" r:id="rId1"/>
    <sheet name="2022 proposed budget"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4" i="2" l="1"/>
  <c r="N20" i="2"/>
  <c r="L9" i="2"/>
  <c r="M36" i="2"/>
  <c r="M46" i="2"/>
  <c r="M45" i="2"/>
  <c r="M48" i="2"/>
  <c r="M54" i="2"/>
  <c r="M37" i="2"/>
  <c r="M20" i="2"/>
  <c r="G54" i="2"/>
  <c r="M23" i="2"/>
  <c r="M19" i="2"/>
  <c r="M6" i="2"/>
  <c r="L48" i="2"/>
  <c r="L20" i="2"/>
  <c r="L37" i="2"/>
  <c r="L36" i="2"/>
  <c r="L6" i="2"/>
  <c r="L45" i="2"/>
  <c r="L46" i="2"/>
  <c r="L40" i="2"/>
  <c r="L34" i="2"/>
  <c r="L47" i="2"/>
  <c r="J40" i="2"/>
  <c r="H40" i="2"/>
  <c r="F40" i="2"/>
  <c r="K37" i="2"/>
  <c r="K36" i="2"/>
  <c r="K9" i="2"/>
  <c r="J9" i="2"/>
  <c r="K6" i="2"/>
  <c r="K48" i="2"/>
  <c r="K20" i="2"/>
  <c r="K46" i="2"/>
  <c r="K45" i="2"/>
  <c r="K39" i="2"/>
  <c r="K7" i="2"/>
  <c r="J48" i="2"/>
  <c r="J36" i="2"/>
  <c r="J46" i="2"/>
  <c r="J45" i="2"/>
  <c r="J20" i="2"/>
  <c r="J37" i="2"/>
  <c r="I37" i="2"/>
  <c r="J6" i="2"/>
  <c r="J19" i="2"/>
  <c r="I36" i="2"/>
  <c r="I6" i="2"/>
  <c r="I7" i="2"/>
  <c r="H48" i="2"/>
  <c r="G48" i="2"/>
  <c r="F48" i="2"/>
  <c r="E48" i="2"/>
  <c r="D48" i="2"/>
  <c r="I48" i="2"/>
  <c r="I10" i="2"/>
  <c r="P10" i="2" s="1"/>
  <c r="I46" i="2"/>
  <c r="I45" i="2"/>
  <c r="I20" i="2"/>
  <c r="I34" i="2"/>
  <c r="I18" i="2"/>
  <c r="I17" i="2"/>
  <c r="H45" i="2"/>
  <c r="H46" i="2"/>
  <c r="P53" i="2"/>
  <c r="F53" i="2"/>
  <c r="F47" i="2"/>
  <c r="G46" i="2"/>
  <c r="F46" i="2"/>
  <c r="E46" i="2"/>
  <c r="D46" i="2"/>
  <c r="P46" i="2" s="1"/>
  <c r="G45" i="2"/>
  <c r="F45" i="2"/>
  <c r="E45" i="2"/>
  <c r="D45" i="2"/>
  <c r="P41" i="2"/>
  <c r="H41" i="2"/>
  <c r="H37" i="2"/>
  <c r="G37" i="2"/>
  <c r="F37" i="2"/>
  <c r="H36" i="2"/>
  <c r="G36" i="2"/>
  <c r="F36" i="2"/>
  <c r="E36" i="2"/>
  <c r="D36" i="2"/>
  <c r="G34" i="2"/>
  <c r="D34" i="2"/>
  <c r="D23" i="2"/>
  <c r="H20" i="2"/>
  <c r="G20" i="2"/>
  <c r="F20" i="2"/>
  <c r="E20" i="2"/>
  <c r="D20" i="2"/>
  <c r="G19" i="2"/>
  <c r="F19" i="2"/>
  <c r="D19" i="2"/>
  <c r="H18" i="2"/>
  <c r="F16" i="2"/>
  <c r="I9" i="2"/>
  <c r="H9" i="2"/>
  <c r="G9" i="2"/>
  <c r="F9" i="2"/>
  <c r="E9" i="2"/>
  <c r="D8" i="2"/>
  <c r="H6" i="2"/>
  <c r="G6" i="2"/>
  <c r="F6" i="2"/>
  <c r="E6" i="2"/>
  <c r="D6" i="2"/>
  <c r="O6" i="2"/>
  <c r="O8" i="2"/>
  <c r="J7" i="2"/>
  <c r="P19" i="2" l="1"/>
  <c r="P6" i="2"/>
  <c r="H16" i="1"/>
  <c r="I16" i="1"/>
  <c r="J16" i="1"/>
  <c r="K16" i="1"/>
  <c r="G16" i="1"/>
  <c r="F16" i="1"/>
  <c r="E16" i="1"/>
  <c r="D16" i="1"/>
  <c r="P45" i="1" l="1"/>
  <c r="H14" i="1"/>
  <c r="G14" i="1"/>
  <c r="E7" i="2"/>
  <c r="P8" i="1" l="1"/>
  <c r="P7" i="1"/>
  <c r="P40" i="1"/>
  <c r="I38" i="1"/>
  <c r="P38" i="1" s="1"/>
  <c r="L29" i="1"/>
  <c r="O15" i="1"/>
  <c r="P22" i="1" l="1"/>
  <c r="P17" i="1"/>
  <c r="P9" i="2" l="1"/>
  <c r="P16" i="2" l="1"/>
  <c r="P15" i="2"/>
  <c r="P37" i="1" l="1"/>
  <c r="E56" i="2" l="1"/>
  <c r="G56" i="2"/>
  <c r="H56" i="2"/>
  <c r="I56" i="2"/>
  <c r="J56" i="2"/>
  <c r="K56" i="2"/>
  <c r="L56" i="2"/>
  <c r="M56" i="2"/>
  <c r="N56" i="2"/>
  <c r="P7" i="2" l="1"/>
  <c r="P8" i="2"/>
  <c r="D56" i="2" l="1"/>
  <c r="D58" i="2" l="1"/>
  <c r="E58" i="2" s="1"/>
  <c r="F58" i="2" s="1"/>
  <c r="G58" i="2" s="1"/>
  <c r="H58" i="2" s="1"/>
  <c r="I58" i="2" s="1"/>
  <c r="J58" i="2" s="1"/>
  <c r="K58" i="2" s="1"/>
  <c r="L58" i="2" s="1"/>
  <c r="M58" i="2" s="1"/>
  <c r="N58" i="2" s="1"/>
  <c r="P6" i="1"/>
  <c r="P43" i="1"/>
  <c r="P42" i="1"/>
  <c r="P22" i="2" l="1"/>
  <c r="P14" i="2"/>
  <c r="P17" i="2"/>
  <c r="P18" i="2"/>
  <c r="P20" i="2"/>
  <c r="P21" i="2"/>
  <c r="P24" i="2"/>
  <c r="P25" i="2"/>
  <c r="P28" i="2"/>
  <c r="P29" i="2"/>
  <c r="P30" i="2"/>
  <c r="P31" i="2"/>
  <c r="P32" i="2"/>
  <c r="P34" i="2"/>
  <c r="P37" i="2"/>
  <c r="P40" i="2"/>
  <c r="P42" i="2"/>
  <c r="P43" i="2"/>
  <c r="P47" i="2"/>
  <c r="P48" i="2"/>
  <c r="P45" i="2"/>
  <c r="P26" i="2"/>
  <c r="P36" i="2"/>
  <c r="P33" i="2"/>
  <c r="P54" i="2"/>
  <c r="P52" i="2"/>
  <c r="P51" i="2"/>
  <c r="P50" i="2"/>
  <c r="P39" i="2"/>
  <c r="P38" i="2"/>
  <c r="P23" i="2" l="1"/>
  <c r="P56" i="2" s="1"/>
  <c r="P34" i="1"/>
  <c r="O54" i="1" l="1"/>
  <c r="N54" i="1"/>
  <c r="M54" i="1"/>
  <c r="L54" i="1"/>
  <c r="K54" i="1"/>
  <c r="J54" i="1"/>
  <c r="I54" i="1"/>
  <c r="H54" i="1"/>
  <c r="G54" i="1"/>
  <c r="F54" i="1"/>
  <c r="E54" i="1"/>
  <c r="P51" i="1"/>
  <c r="P50" i="1"/>
  <c r="P49" i="1"/>
  <c r="P48" i="1"/>
  <c r="P47" i="1"/>
  <c r="P44" i="1"/>
  <c r="P36" i="1"/>
  <c r="P35" i="1"/>
  <c r="P33" i="1"/>
  <c r="P30" i="1"/>
  <c r="P28" i="1"/>
  <c r="P26" i="1"/>
  <c r="P25" i="1"/>
  <c r="P24" i="1"/>
  <c r="P21" i="1"/>
  <c r="P20" i="1"/>
  <c r="P19" i="1"/>
  <c r="P18" i="1"/>
  <c r="P15" i="1"/>
  <c r="P14" i="1"/>
  <c r="P13" i="1"/>
  <c r="D54" i="1"/>
  <c r="D57" i="1" s="1"/>
  <c r="P54" i="1" l="1"/>
  <c r="P57" i="1" s="1"/>
  <c r="E57" i="1"/>
  <c r="F57" i="1" s="1"/>
  <c r="G57" i="1" s="1"/>
  <c r="H57" i="1" s="1"/>
  <c r="I57" i="1" s="1"/>
  <c r="J57" i="1" s="1"/>
  <c r="K57" i="1" s="1"/>
  <c r="L57" i="1" s="1"/>
  <c r="M57" i="1" s="1"/>
  <c r="N57" i="1" s="1"/>
  <c r="O57" i="1" s="1"/>
  <c r="O56" i="2"/>
  <c r="O58" i="2" s="1"/>
</calcChain>
</file>

<file path=xl/sharedStrings.xml><?xml version="1.0" encoding="utf-8"?>
<sst xmlns="http://schemas.openxmlformats.org/spreadsheetml/2006/main" count="171" uniqueCount="111">
  <si>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</si>
  <si>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</si>
  <si>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</si>
  <si>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</si>
  <si>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</si>
  <si>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</si>
  <si>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</si>
  <si>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</si>
  <si>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</si>
  <si>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</si>
  <si>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</si>
  <si>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</si>
  <si>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</si>
  <si>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</si>
  <si>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</si>
  <si>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</si>
  <si>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</si>
  <si>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</si>
  <si>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</si>
  <si>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</si>
  <si>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</si>
  <si>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</si>
  <si>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</si>
  <si>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</si>
  <si>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</si>
  <si>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</si>
  <si>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</si>
  <si>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</si>
  <si>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</si>
  <si>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</si>
  <si>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</si>
  <si>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</si>
  <si>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</si>
  <si>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</si>
  <si>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</si>
  <si>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</si>
  <si>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</si>
  <si>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</si>
  <si>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Utilities</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</si>
  <si>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</si>
  <si>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</si>
  <si>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</si>
  <si>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</si>
  <si>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</si>
  <si>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</si>
  <si>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</si>
  <si>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</si>
  <si>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Irrigation Repairs</t>
  </si>
  <si>
    <t>BASED ON The Haven Board Managing the Association</t>
  </si>
  <si>
    <t>Sign Maintenance</t>
  </si>
  <si>
    <t>Committees- Safety-Compliance-Decorating</t>
  </si>
  <si>
    <t>General Maintenance-Park equip.-Pond</t>
  </si>
  <si>
    <t>Office Supplies</t>
  </si>
  <si>
    <t>Redminder Letter (5%)</t>
  </si>
  <si>
    <t>End of Expenses</t>
  </si>
  <si>
    <t>Invoices</t>
  </si>
  <si>
    <t>Based on Lots</t>
  </si>
  <si>
    <t>HOA Rememburstments</t>
  </si>
  <si>
    <t>Mailing expenses</t>
  </si>
  <si>
    <t>Carry over debt</t>
  </si>
  <si>
    <t>Equipment Rental</t>
  </si>
  <si>
    <t>Expenses Total</t>
  </si>
  <si>
    <t xml:space="preserve"> </t>
  </si>
  <si>
    <t>$      -</t>
  </si>
  <si>
    <t>$   -</t>
  </si>
  <si>
    <t>$    -</t>
  </si>
  <si>
    <t>Payment to The Haven from Bruno Mgmt. for lawn care</t>
  </si>
  <si>
    <r>
      <rPr>
        <b/>
        <sz val="11"/>
        <color theme="1"/>
        <rFont val="Georgia"/>
        <family val="1"/>
      </rPr>
      <t>Annual Home Owner Assesment</t>
    </r>
    <r>
      <rPr>
        <sz val="11"/>
        <rFont val="Calibri"/>
        <family val="2"/>
        <scheme val="minor"/>
      </rPr>
      <t>:</t>
    </r>
    <r>
      <rPr>
        <sz val="16"/>
        <rFont val="Calibri"/>
        <family val="2"/>
        <scheme val="minor"/>
      </rPr>
      <t xml:space="preserve"> </t>
    </r>
    <r>
      <rPr>
        <b/>
        <sz val="16"/>
        <rFont val="Calibri"/>
        <family val="2"/>
        <scheme val="minor"/>
      </rPr>
      <t>$300.00</t>
    </r>
  </si>
  <si>
    <t>Based on 93 Lots</t>
  </si>
  <si>
    <t>Walking Trail Maintenance</t>
  </si>
  <si>
    <t>NFS Checks Returned</t>
  </si>
  <si>
    <t>Banking fees</t>
  </si>
  <si>
    <t>IPS Insurance For Common's Areas</t>
  </si>
  <si>
    <t>Payment  Bruno Mgmt./Tangi EastLLC Lawn care</t>
  </si>
  <si>
    <t>General Maintenance-Park equip.-Pond - front entrance</t>
  </si>
  <si>
    <t>Back Assessments and Liens Paid</t>
  </si>
  <si>
    <t>* Additional Projects</t>
  </si>
  <si>
    <t xml:space="preserve">Common Aeras </t>
  </si>
  <si>
    <t>$-</t>
  </si>
  <si>
    <t>$             -</t>
  </si>
  <si>
    <t>$            -</t>
  </si>
  <si>
    <t xml:space="preserve"> HOA Admin Quick Books/Flywheel/HP INK </t>
  </si>
  <si>
    <t>AMWASTE trash pick up for park</t>
  </si>
  <si>
    <t>AMWaste Trash picke up for park</t>
  </si>
  <si>
    <t xml:space="preserve">DAT Exterminating </t>
  </si>
  <si>
    <t>Additional Legal/Notary</t>
  </si>
  <si>
    <t>Empty lot Spanish Oak /Southland Lawn Care</t>
  </si>
  <si>
    <t>General Reserve carry over from 2021 for common areas imporovement</t>
  </si>
  <si>
    <t>The Haven HOA Project Budget 2022</t>
  </si>
  <si>
    <t>Office Supplies- stamps- envolopes- copy paper</t>
  </si>
  <si>
    <t>HOA Administration Fees/Quickbooks-Flywheel - HP ink</t>
  </si>
  <si>
    <t>Empty lot at end of Spanish Oak Maintenance/Southland lawn care</t>
  </si>
  <si>
    <t>Common Aera Lawn Care / Familt Tradition lawn care</t>
  </si>
  <si>
    <t>Pavillion electricity</t>
  </si>
  <si>
    <t xml:space="preserve">Park lights and pond Electricity </t>
  </si>
  <si>
    <t xml:space="preserve"> Dedicated Reserves for common areas</t>
  </si>
  <si>
    <t>Park and pond Electricity</t>
  </si>
  <si>
    <t xml:space="preserve">Postage and Mail </t>
  </si>
  <si>
    <t xml:space="preserve">ACH transaction fee from Quick Books </t>
  </si>
  <si>
    <t>ACH transaction fee from Quick Books</t>
  </si>
  <si>
    <t>General Reserve carry over from 2022 for common areas imporovement</t>
  </si>
  <si>
    <t>Common Aera Lawn Care / Family Tradition 2</t>
  </si>
  <si>
    <t>&gt;</t>
  </si>
  <si>
    <t xml:space="preserve"> Exterminating</t>
  </si>
  <si>
    <t>Refunds</t>
  </si>
  <si>
    <t>Ending balance for 2022 $11,012.58 Carry over to 2023 Placed in Reserve fund</t>
  </si>
  <si>
    <t>Dedicated Reserve for Common Areas ($11,012.58)</t>
  </si>
  <si>
    <t>The Haven HOA Actual Budget 2023A</t>
  </si>
  <si>
    <t>CZ's Lawn Care</t>
  </si>
  <si>
    <t>Bonnie Rodrigue PAID 1st quarter of 2024</t>
  </si>
  <si>
    <t>Tangi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</si>
</sst>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9"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
      <b/>
      <sz val="22"/>
      <color theme="1"/>
      <name val="Georgia"/>
      <family val="1"/>
    </font>
    <font>
      <b/>
      <sz val="11"/>
      <color theme="1"/>
      <name val="Georgia"/>
      <family val="1"/>
    </font>
    <font>
      <sz val="11"/>
      <color theme="1"/>
      <name val="Calibri"/>
      <family val="1"/>
      <scheme val="minor"/>
    </font>
    <font>
      <b/>
      <sz val="14"/>
      <color theme="1"/>
      <name val="Georgia"/>
      <family val="1"/>
    </font>
    <font>
      <b/>
      <sz val="14"/>
      <color rgb="FF049E21"/>
      <name val="Calibri"/>
      <family val="2"/>
      <scheme val="minor"/>
    </font>
    <font>
      <b/>
      <sz val="18"/>
      <color rgb="FFFF0000"/>
      <name val="Calibri"/>
      <family val="2"/>
      <scheme val="minor"/>
    </font>
    <font>
      <sz val="11"/>
      <color rgb="FFFF0000"/>
      <name val="Calibri"/>
      <family val="2"/>
      <scheme val="minor"/>
    </font>
    <font>
      <b/>
      <sz val="12"/>
      <color theme="1"/>
      <name val="Calibri"/>
      <family val="2"/>
      <scheme val="minor"/>
    </font>
    <font>
      <sz val="8"/>
      <name val="Calibri"/>
      <family val="2"/>
      <scheme val="minor"/>
    </font>
    <font>
      <sz val="14"/>
      <color theme="1"/>
      <name val="Georgia Pro Black"/>
      <family val="1"/>
    </font>
    <font>
      <sz val="11"/>
      <color theme="1"/>
      <name val="Georgia Pro Black"/>
      <family val="1"/>
    </font>
    <font>
      <b/>
      <sz val="16"/>
      <color theme="1"/>
      <name val="Arial Black"/>
      <family val="2"/>
    </font>
    <font>
      <b/>
      <sz val="16"/>
      <color theme="9" tint="-0.249977111117893"/>
      <name val="Calibri"/>
      <family val="2"/>
      <scheme val="minor"/>
    </font>
    <font>
      <sz val="16"/>
      <color rgb="FF0070C0"/>
      <name val="Calibri"/>
      <family val="2"/>
      <scheme val="minor"/>
    </font>
    <font>
      <b/>
      <sz val="14"/>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12">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0" fillId="0" borderId="4" xfId="1" applyNumberFormat="1" applyFont="1" applyBorder="1"/>
    <xf numFmtId="44" fontId="0" fillId="0" borderId="0" xfId="1" applyFont="1"/>
    <xf numFmtId="8" fontId="0" fillId="0" borderId="0" xfId="0" applyNumberFormat="1"/>
    <xf numFmtId="0" fontId="0" fillId="0" borderId="0" xfId="0" quotePrefix="1"/>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2"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0" fillId="0" borderId="4" xfId="0" applyFont="1" applyBorder="1" applyAlignment="1">
      <alignment horizontal="center"/>
    </xf>
    <xf numFmtId="0" fontId="5" fillId="0" borderId="1" xfId="0" applyFont="1" applyBorder="1" applyAlignment="1">
      <alignment horizontal="center" wrapText="1"/>
    </xf>
    <xf numFmtId="8" fontId="0" fillId="0" borderId="4" xfId="0" quotePrefix="1" applyNumberFormat="1" applyBorder="1" applyAlignment="1">
      <alignment horizontal="right"/>
    </xf>
    <xf numFmtId="0" fontId="13" fillId="0" borderId="2" xfId="0" applyFont="1" applyBorder="1" applyAlignment="1">
      <alignment horizontal="center"/>
    </xf>
    <xf numFmtId="164" fontId="0" fillId="0" borderId="4" xfId="1" applyNumberFormat="1" applyFont="1" applyBorder="1"/>
    <xf numFmtId="0" fontId="0" fillId="0" borderId="1" xfId="0" applyBorder="1" applyAlignment="1">
      <alignment horizontal="center" wrapText="1"/>
    </xf>
    <xf numFmtId="164" fontId="0" fillId="0" borderId="4" xfId="0" applyNumberFormat="1" applyBorder="1"/>
    <xf numFmtId="0" fontId="5" fillId="0" borderId="0" xfId="0" applyFont="1" applyAlignment="1">
      <alignment horizontal="center"/>
    </xf>
    <xf numFmtId="164" fontId="18" fillId="0" borderId="4" xfId="0" applyNumberFormat="1" applyFont="1" applyBorder="1"/>
    <xf numFmtId="0" fontId="5" fillId="0" borderId="7"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9" fillId="0" borderId="0" xfId="0" applyFont="1"/>
    <xf numFmtId="0" fontId="20" fillId="0" borderId="0" xfId="0" applyFont="1"/>
    <xf numFmtId="6" fontId="6" fillId="0" borderId="0" xfId="0" applyNumberFormat="1" applyFont="1"/>
    <xf numFmtId="0" fontId="10" fillId="0" borderId="0" xfId="0" applyFont="1"/>
    <xf numFmtId="0" fontId="0" fillId="0" borderId="12" xfId="0" applyBorder="1"/>
    <xf numFmtId="0" fontId="7" fillId="0" borderId="1" xfId="0" applyFont="1" applyBorder="1" applyAlignment="1">
      <alignment horizontal="center" wrapText="1"/>
    </xf>
    <xf numFmtId="0" fontId="6" fillId="0" borderId="0" xfId="0" applyFont="1"/>
    <xf numFmtId="0" fontId="8" fillId="0" borderId="0" xfId="0" applyFont="1"/>
    <xf numFmtId="0" fontId="5" fillId="0" borderId="2" xfId="0" applyFont="1" applyBorder="1" applyAlignment="1">
      <alignment horizontal="center"/>
    </xf>
    <xf numFmtId="0" fontId="0" fillId="0" borderId="0" xfId="0" applyAlignment="1">
      <alignment horizontal="center"/>
    </xf>
    <xf numFmtId="44" fontId="0" fillId="0" borderId="1" xfId="0" quotePrefix="1" applyNumberFormat="1" applyBorder="1" applyAlignment="1">
      <alignment horizontal="right"/>
    </xf>
    <xf numFmtId="4" fontId="0" fillId="0" borderId="0" xfId="0" applyNumberForma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5" fillId="0" borderId="1" xfId="0" applyFont="1" applyBorder="1" applyAlignment="1">
      <alignment horizontal="center"/>
    </xf>
    <xf numFmtId="0" fontId="5" fillId="0" borderId="3" xfId="0" applyFont="1" applyBorder="1" applyAlignment="1">
      <alignment horizontal="center"/>
    </xf>
    <xf numFmtId="0" fontId="0" fillId="0" borderId="1" xfId="0" applyBorder="1" applyAlignment="1">
      <alignment horizontal="left"/>
    </xf>
    <xf numFmtId="0" fontId="5" fillId="0" borderId="4" xfId="0" applyFont="1" applyBorder="1" applyAlignment="1">
      <alignment horizontal="center"/>
    </xf>
    <xf numFmtId="0" fontId="0" fillId="0" borderId="4" xfId="0" applyBorder="1" applyAlignment="1">
      <alignment horizontal="left"/>
    </xf>
    <xf numFmtId="0" fontId="0" fillId="0" borderId="13" xfId="0" applyBorder="1"/>
    <xf numFmtId="0" fontId="28" fillId="2" borderId="4" xfId="0" applyFont="1" applyFill="1" applyBorder="1" applyAlignment="1">
      <alignment horizontal="center"/>
    </xf>
    <xf numFmtId="0" fontId="5" fillId="0" borderId="0" xfId="0" applyFont="1"/>
    <xf numFmtId="8" fontId="7" fillId="0" borderId="2" xfId="0" applyNumberFormat="1" applyFont="1" applyBorder="1"/>
    <xf numFmtId="8" fontId="7" fillId="0" borderId="3" xfId="0" applyNumberFormat="1" applyFont="1" applyBorder="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14"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2" borderId="1"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7"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6" fillId="0" borderId="5" xfId="0" applyFont="1" applyBorder="1" applyAlignment="1">
      <alignment horizontal="left" vertical="top" wrapText="1"/>
    </xf>
    <xf numFmtId="0" fontId="21" fillId="0" borderId="5" xfId="0" applyFont="1" applyBorder="1" applyAlignment="1">
      <alignment horizontal="left" vertical="top" wrapText="1"/>
    </xf>
    <xf numFmtId="0" fontId="21" fillId="0" borderId="0" xfId="0" applyFont="1" applyAlignment="1">
      <alignment horizontal="left" vertical="top" wrapText="1"/>
    </xf>
    <xf numFmtId="0" fontId="5" fillId="0" borderId="4" xfId="0" applyFont="1" applyBorder="1" applyAlignment="1">
      <alignment horizontal="left"/>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2" borderId="1" xfId="0" applyFont="1" applyFill="1" applyBorder="1" applyAlignment="1">
      <alignment horizontal="center"/>
    </xf>
    <xf numFmtId="0" fontId="0" fillId="2" borderId="1" xfId="0" applyFill="1" applyBorder="1" applyAlignment="1">
      <alignment horizontal="center"/>
    </xf>
    <xf numFmtId="0" fontId="5" fillId="2" borderId="1" xfId="0" applyFont="1" applyFill="1" applyBorder="1" applyAlignment="1">
      <alignment horizontal="center"/>
    </xf>
    <xf numFmtId="0" fontId="6" fillId="3" borderId="4" xfId="0" applyFont="1" applyFill="1" applyBorder="1" applyAlignment="1">
      <alignment horizontal="center"/>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8" fillId="3" borderId="4" xfId="0" applyFont="1" applyFill="1" applyBorder="1" applyAlignment="1">
      <alignment horizontal="center"/>
    </xf>
    <xf numFmtId="0" fontId="0" fillId="0" borderId="4" xfId="0" applyBorder="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2"/>
  <sheetViews>
    <sheetView tabSelected="1" zoomScale="70" zoomScaleNormal="70" workbookViewId="0">
      <pane ySplit="7" topLeftCell="A9" activePane="bottomLeft" state="frozen"/>
      <selection pane="bottomLeft" activeCell="N54" sqref="N54"/>
    </sheetView>
  </sheetViews>
  <sheetFormatPr defaultRowHeight="15" x14ac:dyDescent="0.25"/>
  <cols>
    <col min="1" max="1" width="52.7109375" customWidth="1"/>
    <col min="2" max="2" width="0.140625" customWidth="1"/>
    <col min="3" max="3" width="5.85546875" customWidth="1"/>
    <col min="4" max="4" width="15.140625" bestFit="1" customWidth="1"/>
    <col min="5" max="9" width="14.28515625" bestFit="1" customWidth="1"/>
    <col min="10" max="10" width="17.7109375" customWidth="1"/>
    <col min="11" max="14" width="14.28515625" bestFit="1" customWidth="1"/>
    <col min="15" max="15" width="14.140625" customWidth="1"/>
    <col min="16" max="16" width="28.42578125" customWidth="1"/>
    <col min="21" max="21" width="12.140625" bestFit="1" customWidth="1"/>
  </cols>
  <sheetData>
    <row r="1" spans="1:17" ht="28.5" x14ac:dyDescent="0.45">
      <c r="A1" s="72" t="s">
        <v>107</v>
      </c>
      <c r="B1" s="73"/>
      <c r="C1" s="73"/>
      <c r="D1" s="73"/>
      <c r="E1" s="73"/>
      <c r="F1" s="73"/>
      <c r="G1" s="73"/>
      <c r="H1" s="73"/>
      <c r="I1" s="73"/>
      <c r="J1" s="73"/>
      <c r="K1" s="73"/>
      <c r="L1" s="74"/>
      <c r="M1" s="75" t="s">
        <v>67</v>
      </c>
      <c r="N1" s="76"/>
      <c r="O1" s="76"/>
      <c r="P1" s="77"/>
    </row>
    <row r="2" spans="1:17" ht="18.75" x14ac:dyDescent="0.3">
      <c r="A2" s="78" t="s">
        <v>48</v>
      </c>
      <c r="B2" s="79"/>
      <c r="C2" s="79"/>
      <c r="D2" s="79"/>
      <c r="E2" s="79"/>
      <c r="F2" s="79"/>
      <c r="G2" s="79"/>
      <c r="H2" s="79"/>
      <c r="I2" s="79"/>
      <c r="J2" s="79"/>
      <c r="K2" s="79"/>
      <c r="L2" s="79"/>
      <c r="M2" s="79"/>
      <c r="N2" s="79"/>
      <c r="O2" s="79"/>
      <c r="P2" s="80"/>
    </row>
    <row r="3" spans="1:17" ht="18.75" x14ac:dyDescent="0.3">
      <c r="A3" s="81" t="s">
        <v>68</v>
      </c>
      <c r="B3" s="82"/>
      <c r="C3" s="83"/>
      <c r="D3" s="26">
        <v>93</v>
      </c>
      <c r="E3" s="26">
        <v>93</v>
      </c>
      <c r="F3" s="26">
        <v>93</v>
      </c>
      <c r="G3" s="26">
        <v>93</v>
      </c>
      <c r="H3" s="26">
        <v>93</v>
      </c>
      <c r="I3" s="26">
        <v>93</v>
      </c>
      <c r="J3" s="26">
        <v>93</v>
      </c>
      <c r="K3" s="26">
        <v>93</v>
      </c>
      <c r="L3" s="26">
        <v>93</v>
      </c>
      <c r="M3" s="26">
        <v>93</v>
      </c>
      <c r="N3" s="26">
        <v>93</v>
      </c>
      <c r="O3" s="26">
        <v>93</v>
      </c>
      <c r="P3" s="26"/>
    </row>
    <row r="4" spans="1:17" ht="23.25" x14ac:dyDescent="0.35">
      <c r="A4" s="1"/>
      <c r="B4" s="1"/>
      <c r="C4" s="1"/>
      <c r="D4" s="27" t="s">
        <v>1</v>
      </c>
      <c r="E4" s="27" t="s">
        <v>2</v>
      </c>
      <c r="F4" s="27" t="s">
        <v>3</v>
      </c>
      <c r="G4" s="27" t="s">
        <v>4</v>
      </c>
      <c r="H4" s="27" t="s">
        <v>5</v>
      </c>
      <c r="I4" s="27" t="s">
        <v>6</v>
      </c>
      <c r="J4" s="27" t="s">
        <v>7</v>
      </c>
      <c r="K4" s="27" t="s">
        <v>8</v>
      </c>
      <c r="L4" s="27" t="s">
        <v>9</v>
      </c>
      <c r="M4" s="27" t="s">
        <v>10</v>
      </c>
      <c r="N4" s="27" t="s">
        <v>11</v>
      </c>
      <c r="O4" s="27" t="s">
        <v>12</v>
      </c>
      <c r="P4" s="27" t="s">
        <v>23</v>
      </c>
    </row>
    <row r="5" spans="1:17" ht="23.25" x14ac:dyDescent="0.35">
      <c r="A5" s="90" t="s">
        <v>14</v>
      </c>
      <c r="B5" s="91"/>
      <c r="C5" s="91"/>
      <c r="D5" s="91"/>
      <c r="E5" s="91"/>
      <c r="F5" s="91"/>
      <c r="G5" s="91"/>
      <c r="H5" s="91"/>
      <c r="I5" s="91"/>
      <c r="J5" s="91"/>
      <c r="K5" s="91"/>
      <c r="L5" s="91"/>
      <c r="M5" s="91"/>
      <c r="N5" s="91"/>
      <c r="O5" s="91"/>
      <c r="P5" s="92"/>
    </row>
    <row r="6" spans="1:17" ht="18.75" x14ac:dyDescent="0.3">
      <c r="A6" s="81" t="s">
        <v>15</v>
      </c>
      <c r="B6" s="82"/>
      <c r="C6" s="83"/>
      <c r="D6" s="25">
        <f>16500</f>
        <v>16500</v>
      </c>
      <c r="E6" s="25">
        <f>3600</f>
        <v>3600</v>
      </c>
      <c r="F6" s="25">
        <f>1800</f>
        <v>1800</v>
      </c>
      <c r="G6" s="25">
        <f>1125</f>
        <v>1125</v>
      </c>
      <c r="H6" s="25">
        <f>300</f>
        <v>300</v>
      </c>
      <c r="I6" s="25">
        <f>75+75+75</f>
        <v>225</v>
      </c>
      <c r="J6" s="25">
        <f>75+75</f>
        <v>150</v>
      </c>
      <c r="K6" s="25">
        <f>300+300</f>
        <v>600</v>
      </c>
      <c r="L6" s="25">
        <f>75</f>
        <v>75</v>
      </c>
      <c r="M6" s="25">
        <f>75+75+75</f>
        <v>225</v>
      </c>
      <c r="N6" s="25">
        <v>0</v>
      </c>
      <c r="O6" s="25">
        <f>0</f>
        <v>0</v>
      </c>
      <c r="P6" s="21">
        <f>SUM(D6:O6)</f>
        <v>24600</v>
      </c>
      <c r="Q6" t="s">
        <v>109</v>
      </c>
    </row>
    <row r="7" spans="1:17" ht="18.75" x14ac:dyDescent="0.3">
      <c r="A7" s="81" t="s">
        <v>75</v>
      </c>
      <c r="B7" s="82"/>
      <c r="C7" s="83"/>
      <c r="D7" s="25">
        <v>0</v>
      </c>
      <c r="E7" s="21">
        <f>0</f>
        <v>0</v>
      </c>
      <c r="F7" s="21">
        <v>0</v>
      </c>
      <c r="G7" s="21">
        <v>0</v>
      </c>
      <c r="H7" s="21">
        <v>0</v>
      </c>
      <c r="I7" s="21">
        <f>1452.9+19</f>
        <v>1471.9</v>
      </c>
      <c r="J7" s="21">
        <f>0</f>
        <v>0</v>
      </c>
      <c r="K7" s="21">
        <f>300</f>
        <v>300</v>
      </c>
      <c r="L7" s="21">
        <v>0</v>
      </c>
      <c r="M7" s="21">
        <v>0</v>
      </c>
      <c r="N7" s="21">
        <v>0</v>
      </c>
      <c r="O7" s="21">
        <v>0</v>
      </c>
      <c r="P7" s="21">
        <f t="shared" ref="P7:P8" si="0">SUM(D7:O7)</f>
        <v>1771.9</v>
      </c>
    </row>
    <row r="8" spans="1:17" ht="37.5" x14ac:dyDescent="0.3">
      <c r="A8" s="28" t="s">
        <v>100</v>
      </c>
      <c r="B8" s="34"/>
      <c r="C8" s="50"/>
      <c r="D8" s="25">
        <f>11012.58</f>
        <v>11012.58</v>
      </c>
      <c r="E8" s="21">
        <v>0</v>
      </c>
      <c r="F8" s="21">
        <v>0</v>
      </c>
      <c r="G8" s="21">
        <v>0</v>
      </c>
      <c r="H8" s="21">
        <v>0</v>
      </c>
      <c r="I8" s="21">
        <v>0</v>
      </c>
      <c r="J8" s="21">
        <v>0</v>
      </c>
      <c r="K8" s="21">
        <v>0</v>
      </c>
      <c r="L8" s="21">
        <v>0</v>
      </c>
      <c r="M8" s="21">
        <v>0</v>
      </c>
      <c r="N8" s="21">
        <v>0</v>
      </c>
      <c r="O8" s="21">
        <f>0</f>
        <v>0</v>
      </c>
      <c r="P8" s="21">
        <f t="shared" si="0"/>
        <v>11012.58</v>
      </c>
    </row>
    <row r="9" spans="1:17" ht="37.5" x14ac:dyDescent="0.3">
      <c r="A9" s="28" t="s">
        <v>73</v>
      </c>
      <c r="B9" s="51"/>
      <c r="C9" s="50"/>
      <c r="D9" s="25">
        <v>202.5</v>
      </c>
      <c r="E9" s="25">
        <f t="shared" ref="E9:K9" si="1">202.5</f>
        <v>202.5</v>
      </c>
      <c r="F9" s="25">
        <f t="shared" si="1"/>
        <v>202.5</v>
      </c>
      <c r="G9" s="25">
        <f t="shared" si="1"/>
        <v>202.5</v>
      </c>
      <c r="H9" s="25">
        <f t="shared" si="1"/>
        <v>202.5</v>
      </c>
      <c r="I9" s="25">
        <f t="shared" si="1"/>
        <v>202.5</v>
      </c>
      <c r="J9" s="25">
        <f t="shared" si="1"/>
        <v>202.5</v>
      </c>
      <c r="K9" s="25">
        <f t="shared" si="1"/>
        <v>202.5</v>
      </c>
      <c r="L9" s="25">
        <f>202.5</f>
        <v>202.5</v>
      </c>
      <c r="M9" s="25">
        <v>0</v>
      </c>
      <c r="N9" s="25">
        <v>0</v>
      </c>
      <c r="O9" s="25">
        <v>0</v>
      </c>
      <c r="P9" s="25">
        <f>SUM(D9:O9)</f>
        <v>1822.5</v>
      </c>
    </row>
    <row r="10" spans="1:17" ht="18.75" x14ac:dyDescent="0.3">
      <c r="A10" s="28" t="s">
        <v>104</v>
      </c>
      <c r="B10" s="51"/>
      <c r="C10" s="50"/>
      <c r="D10" s="67"/>
      <c r="E10" s="67"/>
      <c r="F10" s="67"/>
      <c r="G10" s="67"/>
      <c r="H10" s="67"/>
      <c r="I10" s="67">
        <f>12.42+19</f>
        <v>31.42</v>
      </c>
      <c r="J10" s="67"/>
      <c r="K10" s="67"/>
      <c r="L10" s="67"/>
      <c r="M10" s="67"/>
      <c r="N10" s="67">
        <v>0</v>
      </c>
      <c r="O10" s="67"/>
      <c r="P10" s="68">
        <f>SUM(D10:O10)</f>
        <v>31.42</v>
      </c>
    </row>
    <row r="11" spans="1:17" ht="23.25" x14ac:dyDescent="0.35">
      <c r="A11" s="93"/>
      <c r="B11" s="94"/>
      <c r="C11" s="94"/>
      <c r="D11" s="94"/>
      <c r="E11" s="94"/>
      <c r="F11" s="94"/>
      <c r="G11" s="94"/>
      <c r="H11" s="94"/>
      <c r="I11" s="94"/>
      <c r="J11" s="94"/>
      <c r="K11" s="94"/>
      <c r="L11" s="94"/>
      <c r="M11" s="94"/>
      <c r="N11" s="94"/>
      <c r="O11" s="94"/>
      <c r="P11" s="95"/>
    </row>
    <row r="12" spans="1:17" ht="23.25" x14ac:dyDescent="0.35">
      <c r="A12" s="90"/>
      <c r="B12" s="91"/>
      <c r="C12" s="91"/>
      <c r="D12" s="91"/>
      <c r="E12" s="91"/>
      <c r="F12" s="91"/>
      <c r="G12" s="91"/>
      <c r="H12" s="91"/>
      <c r="I12" s="91"/>
      <c r="J12" s="91"/>
      <c r="K12" s="91"/>
      <c r="L12" s="91"/>
      <c r="M12" s="91"/>
      <c r="N12" s="91"/>
      <c r="O12" s="91"/>
      <c r="P12" s="92"/>
    </row>
    <row r="13" spans="1:17" ht="23.25" x14ac:dyDescent="0.35">
      <c r="A13" s="69" t="s">
        <v>22</v>
      </c>
      <c r="B13" s="70"/>
      <c r="C13" s="70"/>
      <c r="D13" s="70"/>
      <c r="E13" s="70"/>
      <c r="F13" s="70"/>
      <c r="G13" s="70"/>
      <c r="H13" s="70"/>
      <c r="I13" s="70"/>
      <c r="J13" s="70"/>
      <c r="K13" s="70"/>
      <c r="L13" s="70"/>
      <c r="M13" s="70"/>
      <c r="N13" s="70"/>
      <c r="O13" s="70"/>
      <c r="P13" s="71"/>
    </row>
    <row r="14" spans="1:17" ht="18.75" x14ac:dyDescent="0.3">
      <c r="A14" s="84" t="s">
        <v>24</v>
      </c>
      <c r="B14" s="84"/>
      <c r="C14" s="84"/>
      <c r="D14" s="22">
        <v>0</v>
      </c>
      <c r="E14" s="22">
        <v>0</v>
      </c>
      <c r="F14" s="22">
        <v>0</v>
      </c>
      <c r="G14" s="22">
        <v>0</v>
      </c>
      <c r="H14" s="22">
        <v>0</v>
      </c>
      <c r="I14" s="22">
        <v>0</v>
      </c>
      <c r="J14" s="22">
        <v>0</v>
      </c>
      <c r="K14" s="22">
        <v>0</v>
      </c>
      <c r="L14" s="22">
        <v>0</v>
      </c>
      <c r="M14" s="22">
        <v>0</v>
      </c>
      <c r="N14" s="22">
        <v>0</v>
      </c>
      <c r="O14" s="22">
        <v>0</v>
      </c>
      <c r="P14" s="21">
        <f t="shared" ref="P14:P37" si="2">SUM(D14:O14)</f>
        <v>0</v>
      </c>
    </row>
    <row r="15" spans="1:17" ht="18.75" x14ac:dyDescent="0.3">
      <c r="A15" s="36" t="s">
        <v>70</v>
      </c>
      <c r="B15" s="37"/>
      <c r="C15" s="38"/>
      <c r="D15" s="22">
        <v>0</v>
      </c>
      <c r="E15" s="22">
        <v>0</v>
      </c>
      <c r="F15" s="22">
        <v>0</v>
      </c>
      <c r="G15" s="22">
        <v>0</v>
      </c>
      <c r="H15" s="22">
        <v>0</v>
      </c>
      <c r="I15" s="22">
        <v>0</v>
      </c>
      <c r="J15" s="22">
        <v>0</v>
      </c>
      <c r="K15" s="22">
        <v>0</v>
      </c>
      <c r="L15" s="22">
        <v>0</v>
      </c>
      <c r="M15" s="22">
        <v>0</v>
      </c>
      <c r="N15" s="22">
        <v>0</v>
      </c>
      <c r="O15" s="22">
        <v>0</v>
      </c>
      <c r="P15" s="21">
        <f t="shared" si="2"/>
        <v>0</v>
      </c>
    </row>
    <row r="16" spans="1:17" ht="18.75" x14ac:dyDescent="0.3">
      <c r="A16" s="39" t="s">
        <v>71</v>
      </c>
      <c r="B16" s="40"/>
      <c r="C16" s="41"/>
      <c r="D16" s="22">
        <v>0</v>
      </c>
      <c r="E16" s="22">
        <v>0</v>
      </c>
      <c r="F16" s="22">
        <f>36</f>
        <v>36</v>
      </c>
      <c r="G16" s="22">
        <v>0</v>
      </c>
      <c r="H16" s="22">
        <v>0</v>
      </c>
      <c r="I16" s="22">
        <v>0</v>
      </c>
      <c r="J16" s="22">
        <v>0</v>
      </c>
      <c r="K16" s="22">
        <v>0</v>
      </c>
      <c r="L16" s="22">
        <v>0</v>
      </c>
      <c r="M16" s="22">
        <v>0</v>
      </c>
      <c r="N16" s="22">
        <v>0</v>
      </c>
      <c r="O16" s="22">
        <v>0</v>
      </c>
      <c r="P16" s="21">
        <f t="shared" si="2"/>
        <v>36</v>
      </c>
    </row>
    <row r="17" spans="1:21" ht="18.75" x14ac:dyDescent="0.3">
      <c r="A17" s="84" t="s">
        <v>28</v>
      </c>
      <c r="B17" s="84"/>
      <c r="C17" s="84"/>
      <c r="D17" s="22">
        <v>0</v>
      </c>
      <c r="E17" s="22">
        <v>0</v>
      </c>
      <c r="F17" s="22">
        <v>0</v>
      </c>
      <c r="G17" s="22">
        <v>0</v>
      </c>
      <c r="H17" s="22">
        <v>0</v>
      </c>
      <c r="I17" s="22">
        <f>80</f>
        <v>80</v>
      </c>
      <c r="J17" s="22">
        <v>0</v>
      </c>
      <c r="K17" s="22">
        <v>0</v>
      </c>
      <c r="L17" s="22">
        <v>0</v>
      </c>
      <c r="M17" s="22">
        <v>0</v>
      </c>
      <c r="N17" s="22">
        <v>0</v>
      </c>
      <c r="O17" s="22">
        <v>0</v>
      </c>
      <c r="P17" s="21">
        <f t="shared" si="2"/>
        <v>80</v>
      </c>
    </row>
    <row r="18" spans="1:21" ht="18.75" x14ac:dyDescent="0.3">
      <c r="A18" s="84" t="s">
        <v>85</v>
      </c>
      <c r="B18" s="84"/>
      <c r="C18" s="84"/>
      <c r="D18" s="21">
        <v>0</v>
      </c>
      <c r="E18" s="22">
        <v>0</v>
      </c>
      <c r="F18" s="22">
        <v>0</v>
      </c>
      <c r="G18" s="22">
        <v>0</v>
      </c>
      <c r="H18" s="22">
        <f>27</f>
        <v>27</v>
      </c>
      <c r="I18" s="22">
        <f>27</f>
        <v>27</v>
      </c>
      <c r="J18" s="22">
        <v>0</v>
      </c>
      <c r="K18" s="22">
        <v>0</v>
      </c>
      <c r="L18" s="22">
        <v>0</v>
      </c>
      <c r="M18" s="22">
        <v>0</v>
      </c>
      <c r="N18" s="22">
        <v>0</v>
      </c>
      <c r="O18" s="22">
        <v>0</v>
      </c>
      <c r="P18" s="21">
        <f t="shared" si="2"/>
        <v>54</v>
      </c>
      <c r="R18" s="14"/>
    </row>
    <row r="19" spans="1:21" ht="18.75" x14ac:dyDescent="0.3">
      <c r="A19" s="65" t="s">
        <v>98</v>
      </c>
      <c r="B19" s="62"/>
      <c r="C19" s="62"/>
      <c r="D19" s="21">
        <f>46.5</f>
        <v>46.5</v>
      </c>
      <c r="E19" s="21">
        <v>0</v>
      </c>
      <c r="F19" s="21">
        <f>6</f>
        <v>6</v>
      </c>
      <c r="G19" s="21">
        <f>9.53</f>
        <v>9.5299999999999994</v>
      </c>
      <c r="H19" s="21">
        <v>0</v>
      </c>
      <c r="I19" s="21">
        <v>0</v>
      </c>
      <c r="J19" s="21">
        <f>0.75</f>
        <v>0.75</v>
      </c>
      <c r="K19" s="21">
        <v>0</v>
      </c>
      <c r="L19" s="21">
        <v>0</v>
      </c>
      <c r="M19" s="21">
        <f>0.75</f>
        <v>0.75</v>
      </c>
      <c r="N19" s="21">
        <v>0</v>
      </c>
      <c r="O19" s="21">
        <v>0</v>
      </c>
      <c r="P19" s="21">
        <f>SUM(D19:O19)</f>
        <v>63.53</v>
      </c>
      <c r="R19" s="14"/>
    </row>
    <row r="20" spans="1:21" ht="18.75" x14ac:dyDescent="0.3">
      <c r="A20" s="84" t="s">
        <v>81</v>
      </c>
      <c r="B20" s="84"/>
      <c r="C20" s="84"/>
      <c r="D20" s="22">
        <f>76.47</f>
        <v>76.47</v>
      </c>
      <c r="E20" s="22">
        <f>76.47</f>
        <v>76.47</v>
      </c>
      <c r="F20" s="22">
        <f>76.47</f>
        <v>76.47</v>
      </c>
      <c r="G20" s="22">
        <f>76.47</f>
        <v>76.47</v>
      </c>
      <c r="H20" s="22">
        <f>76.47</f>
        <v>76.47</v>
      </c>
      <c r="I20" s="22">
        <f>27.5</f>
        <v>27.5</v>
      </c>
      <c r="J20" s="22">
        <f>15+6.47+27.5</f>
        <v>48.97</v>
      </c>
      <c r="K20" s="22">
        <f>15+27.5</f>
        <v>42.5</v>
      </c>
      <c r="L20" s="22">
        <f>15+6.47+27.5</f>
        <v>48.97</v>
      </c>
      <c r="M20" s="22">
        <f>15+6.47+27.5</f>
        <v>48.97</v>
      </c>
      <c r="N20" s="22">
        <f>15</f>
        <v>15</v>
      </c>
      <c r="O20" s="22">
        <v>0</v>
      </c>
      <c r="P20" s="21">
        <f t="shared" si="2"/>
        <v>614.2600000000001</v>
      </c>
      <c r="R20" s="43"/>
    </row>
    <row r="21" spans="1:21" ht="18.75" x14ac:dyDescent="0.3">
      <c r="A21" s="84" t="s">
        <v>72</v>
      </c>
      <c r="B21" s="84"/>
      <c r="C21" s="84"/>
      <c r="D21" s="22">
        <v>0</v>
      </c>
      <c r="E21" s="22">
        <v>0</v>
      </c>
      <c r="F21" s="22">
        <v>0</v>
      </c>
      <c r="G21" s="22">
        <v>0</v>
      </c>
      <c r="H21" s="22">
        <v>0</v>
      </c>
      <c r="I21" s="22">
        <v>0</v>
      </c>
      <c r="J21" s="22">
        <v>0</v>
      </c>
      <c r="K21" s="22">
        <v>0</v>
      </c>
      <c r="L21" s="22">
        <v>0</v>
      </c>
      <c r="M21" s="22">
        <v>0</v>
      </c>
      <c r="N21" s="22">
        <v>0</v>
      </c>
      <c r="O21" s="22">
        <v>0</v>
      </c>
      <c r="P21" s="21">
        <f t="shared" si="2"/>
        <v>0</v>
      </c>
    </row>
    <row r="22" spans="1:21" ht="18.75" x14ac:dyDescent="0.3">
      <c r="A22" s="84" t="s">
        <v>59</v>
      </c>
      <c r="B22" s="84"/>
      <c r="C22" s="84"/>
      <c r="D22" s="21">
        <v>0</v>
      </c>
      <c r="E22" s="22">
        <v>0</v>
      </c>
      <c r="F22" s="22">
        <v>0</v>
      </c>
      <c r="G22" s="22">
        <v>0</v>
      </c>
      <c r="H22" s="22">
        <v>0</v>
      </c>
      <c r="I22" s="22">
        <v>0</v>
      </c>
      <c r="J22" s="22">
        <v>0</v>
      </c>
      <c r="K22" s="22">
        <v>0</v>
      </c>
      <c r="L22" s="22">
        <v>0</v>
      </c>
      <c r="M22" s="22">
        <v>0</v>
      </c>
      <c r="N22" s="22">
        <v>0</v>
      </c>
      <c r="O22" s="22">
        <v>0</v>
      </c>
      <c r="P22" s="21">
        <f t="shared" si="2"/>
        <v>0</v>
      </c>
      <c r="T22" t="s">
        <v>62</v>
      </c>
      <c r="U22" s="13"/>
    </row>
    <row r="23" spans="1:21" ht="18.75" x14ac:dyDescent="0.3">
      <c r="A23" s="84" t="s">
        <v>31</v>
      </c>
      <c r="B23" s="84"/>
      <c r="C23" s="84"/>
      <c r="D23" s="21">
        <f>15</f>
        <v>15</v>
      </c>
      <c r="E23" s="22">
        <v>0</v>
      </c>
      <c r="F23" s="22">
        <v>0</v>
      </c>
      <c r="G23" s="22">
        <v>0</v>
      </c>
      <c r="H23" s="22">
        <v>0</v>
      </c>
      <c r="I23" s="22">
        <v>0</v>
      </c>
      <c r="J23" s="22">
        <v>0</v>
      </c>
      <c r="K23" s="22">
        <v>0</v>
      </c>
      <c r="L23" s="22">
        <v>0</v>
      </c>
      <c r="M23" s="22">
        <f>15</f>
        <v>15</v>
      </c>
      <c r="N23" s="22">
        <v>0</v>
      </c>
      <c r="O23" s="22">
        <v>0</v>
      </c>
      <c r="P23" s="21">
        <f t="shared" si="2"/>
        <v>30</v>
      </c>
    </row>
    <row r="24" spans="1:21" ht="18.75" x14ac:dyDescent="0.3">
      <c r="A24" s="84" t="s">
        <v>32</v>
      </c>
      <c r="B24" s="84"/>
      <c r="C24" s="84"/>
      <c r="D24" s="21">
        <v>0</v>
      </c>
      <c r="E24" s="22">
        <v>0</v>
      </c>
      <c r="F24" s="22">
        <v>0</v>
      </c>
      <c r="G24" s="22">
        <v>0</v>
      </c>
      <c r="H24" s="22">
        <v>0</v>
      </c>
      <c r="I24" s="22">
        <v>0</v>
      </c>
      <c r="J24" s="22">
        <v>0</v>
      </c>
      <c r="K24" s="22">
        <v>0</v>
      </c>
      <c r="L24" s="22">
        <v>0</v>
      </c>
      <c r="M24" s="22">
        <v>0</v>
      </c>
      <c r="N24" s="22">
        <v>0</v>
      </c>
      <c r="O24" s="22">
        <v>0</v>
      </c>
      <c r="P24" s="21">
        <f t="shared" si="2"/>
        <v>0</v>
      </c>
    </row>
    <row r="25" spans="1:21" ht="18.75" x14ac:dyDescent="0.3">
      <c r="A25" s="81" t="s">
        <v>57</v>
      </c>
      <c r="B25" s="82"/>
      <c r="C25" s="83"/>
      <c r="D25" s="21">
        <v>0</v>
      </c>
      <c r="E25" s="22">
        <v>0</v>
      </c>
      <c r="F25" s="22">
        <v>0</v>
      </c>
      <c r="G25" s="22">
        <v>0</v>
      </c>
      <c r="H25" s="22">
        <v>0</v>
      </c>
      <c r="I25" s="22">
        <v>0</v>
      </c>
      <c r="J25" s="22">
        <v>0</v>
      </c>
      <c r="K25" s="22">
        <v>0</v>
      </c>
      <c r="L25" s="22">
        <v>0</v>
      </c>
      <c r="M25" s="22">
        <v>0</v>
      </c>
      <c r="N25" s="22">
        <v>0</v>
      </c>
      <c r="O25" s="22">
        <v>0</v>
      </c>
      <c r="P25" s="21">
        <f t="shared" si="2"/>
        <v>0</v>
      </c>
    </row>
    <row r="26" spans="1:21" ht="18.75" x14ac:dyDescent="0.3">
      <c r="A26" s="81" t="s">
        <v>50</v>
      </c>
      <c r="B26" s="82"/>
      <c r="C26" s="83"/>
      <c r="D26" s="24">
        <v>0</v>
      </c>
      <c r="E26" s="22">
        <v>0</v>
      </c>
      <c r="F26" s="22">
        <v>0</v>
      </c>
      <c r="G26" s="22">
        <v>0</v>
      </c>
      <c r="H26" s="22">
        <v>0</v>
      </c>
      <c r="I26" s="22">
        <v>0</v>
      </c>
      <c r="J26" s="22">
        <v>0</v>
      </c>
      <c r="K26" s="22">
        <v>0</v>
      </c>
      <c r="L26" s="22">
        <v>0</v>
      </c>
      <c r="M26" s="22">
        <v>0</v>
      </c>
      <c r="N26" s="22">
        <v>0</v>
      </c>
      <c r="O26" s="22">
        <v>0</v>
      </c>
      <c r="P26" s="21">
        <f t="shared" si="2"/>
        <v>0</v>
      </c>
    </row>
    <row r="27" spans="1:21" ht="23.25" x14ac:dyDescent="0.35">
      <c r="A27" s="69" t="s">
        <v>97</v>
      </c>
      <c r="B27" s="70"/>
      <c r="C27" s="70"/>
      <c r="D27" s="70"/>
      <c r="E27" s="70"/>
      <c r="F27" s="70"/>
      <c r="G27" s="70"/>
      <c r="H27" s="70"/>
      <c r="I27" s="70"/>
      <c r="J27" s="70"/>
      <c r="K27" s="70"/>
      <c r="L27" s="70"/>
      <c r="M27" s="70"/>
      <c r="N27" s="70"/>
      <c r="O27" s="70"/>
      <c r="P27" s="71"/>
    </row>
    <row r="28" spans="1:21" ht="18.75" x14ac:dyDescent="0.3">
      <c r="A28" s="84" t="s">
        <v>55</v>
      </c>
      <c r="B28" s="84"/>
      <c r="C28" s="84"/>
      <c r="D28" s="21">
        <v>0</v>
      </c>
      <c r="E28" s="22">
        <v>0</v>
      </c>
      <c r="F28" s="22">
        <v>0</v>
      </c>
      <c r="G28" s="22">
        <v>0</v>
      </c>
      <c r="H28" s="22">
        <v>0</v>
      </c>
      <c r="I28" s="22">
        <v>0</v>
      </c>
      <c r="J28" s="22">
        <v>0</v>
      </c>
      <c r="K28" s="22">
        <v>0</v>
      </c>
      <c r="L28" s="22">
        <v>0</v>
      </c>
      <c r="M28" s="22">
        <v>0</v>
      </c>
      <c r="N28" s="22">
        <v>0</v>
      </c>
      <c r="O28" s="22">
        <v>0</v>
      </c>
      <c r="P28" s="21">
        <f t="shared" si="2"/>
        <v>0</v>
      </c>
    </row>
    <row r="29" spans="1:21" ht="18.75" x14ac:dyDescent="0.3">
      <c r="A29" s="84" t="s">
        <v>34</v>
      </c>
      <c r="B29" s="84"/>
      <c r="C29" s="84"/>
      <c r="D29" s="21">
        <v>0</v>
      </c>
      <c r="E29" s="22">
        <v>0</v>
      </c>
      <c r="F29" s="22">
        <v>0</v>
      </c>
      <c r="G29" s="22">
        <v>0</v>
      </c>
      <c r="H29" s="22">
        <v>0</v>
      </c>
      <c r="I29" s="22">
        <v>0</v>
      </c>
      <c r="J29" s="22">
        <v>0</v>
      </c>
      <c r="K29" s="22">
        <v>0</v>
      </c>
      <c r="L29" s="22">
        <v>0</v>
      </c>
      <c r="M29" s="22">
        <v>0</v>
      </c>
      <c r="N29" s="22">
        <v>0</v>
      </c>
      <c r="O29" s="22">
        <v>0</v>
      </c>
      <c r="P29" s="21">
        <f t="shared" si="2"/>
        <v>0</v>
      </c>
    </row>
    <row r="30" spans="1:21" ht="18.75" x14ac:dyDescent="0.3">
      <c r="A30" s="84" t="s">
        <v>35</v>
      </c>
      <c r="B30" s="84"/>
      <c r="C30" s="84"/>
      <c r="D30" s="21">
        <v>0</v>
      </c>
      <c r="E30" s="22">
        <v>0</v>
      </c>
      <c r="F30" s="22">
        <v>0</v>
      </c>
      <c r="G30" s="22">
        <v>0</v>
      </c>
      <c r="H30" s="22">
        <v>0</v>
      </c>
      <c r="I30" s="22">
        <v>0</v>
      </c>
      <c r="J30" s="22">
        <v>0</v>
      </c>
      <c r="K30" s="22">
        <v>0</v>
      </c>
      <c r="L30" s="22">
        <v>0</v>
      </c>
      <c r="M30" s="22">
        <v>0</v>
      </c>
      <c r="N30" s="22">
        <v>0</v>
      </c>
      <c r="O30" s="22">
        <v>0</v>
      </c>
      <c r="P30" s="21">
        <f t="shared" si="2"/>
        <v>0</v>
      </c>
    </row>
    <row r="31" spans="1:21" ht="18.75" x14ac:dyDescent="0.3">
      <c r="A31" s="84" t="s">
        <v>36</v>
      </c>
      <c r="B31" s="84"/>
      <c r="C31" s="84"/>
      <c r="D31" s="21">
        <v>0</v>
      </c>
      <c r="E31" s="22">
        <v>0</v>
      </c>
      <c r="F31" s="22">
        <v>0</v>
      </c>
      <c r="G31" s="22">
        <v>0</v>
      </c>
      <c r="H31" s="22">
        <v>0</v>
      </c>
      <c r="I31" s="22">
        <v>0</v>
      </c>
      <c r="J31" s="22">
        <v>0</v>
      </c>
      <c r="K31" s="22">
        <v>0</v>
      </c>
      <c r="L31" s="22">
        <v>0</v>
      </c>
      <c r="M31" s="22">
        <v>0</v>
      </c>
      <c r="N31" s="22">
        <v>0</v>
      </c>
      <c r="O31" s="22">
        <v>0</v>
      </c>
      <c r="P31" s="21">
        <f t="shared" si="2"/>
        <v>0</v>
      </c>
    </row>
    <row r="32" spans="1:21" ht="18.75" x14ac:dyDescent="0.3">
      <c r="A32" s="84" t="s">
        <v>53</v>
      </c>
      <c r="B32" s="84"/>
      <c r="C32" s="84"/>
      <c r="D32" s="22">
        <v>0</v>
      </c>
      <c r="E32" s="22">
        <v>0</v>
      </c>
      <c r="F32" s="22">
        <v>0</v>
      </c>
      <c r="G32" s="22">
        <v>0</v>
      </c>
      <c r="H32" s="22">
        <v>0</v>
      </c>
      <c r="I32" s="22">
        <v>0</v>
      </c>
      <c r="J32" s="22">
        <v>0</v>
      </c>
      <c r="K32" s="22">
        <v>0</v>
      </c>
      <c r="L32" s="22">
        <v>0</v>
      </c>
      <c r="M32" s="22">
        <v>0</v>
      </c>
      <c r="N32" s="22">
        <v>0</v>
      </c>
      <c r="O32" s="22">
        <v>0</v>
      </c>
      <c r="P32" s="21">
        <f t="shared" si="2"/>
        <v>0</v>
      </c>
    </row>
    <row r="33" spans="1:32" ht="18.75" x14ac:dyDescent="0.3">
      <c r="A33" s="84" t="s">
        <v>58</v>
      </c>
      <c r="B33" s="84"/>
      <c r="C33" s="84"/>
      <c r="D33" s="22">
        <v>0</v>
      </c>
      <c r="E33" s="22">
        <v>0</v>
      </c>
      <c r="F33" s="22">
        <v>0</v>
      </c>
      <c r="G33" s="22">
        <v>0</v>
      </c>
      <c r="H33" s="22">
        <v>0</v>
      </c>
      <c r="I33" s="22">
        <v>0</v>
      </c>
      <c r="J33" s="22">
        <v>0</v>
      </c>
      <c r="K33" s="22">
        <v>0</v>
      </c>
      <c r="L33" s="22">
        <v>0</v>
      </c>
      <c r="M33" s="22">
        <v>0</v>
      </c>
      <c r="N33" s="22">
        <v>0</v>
      </c>
      <c r="O33" s="22">
        <v>0</v>
      </c>
      <c r="P33" s="21">
        <f t="shared" si="2"/>
        <v>0</v>
      </c>
    </row>
    <row r="34" spans="1:32" ht="18.75" x14ac:dyDescent="0.3">
      <c r="A34" s="84" t="s">
        <v>52</v>
      </c>
      <c r="B34" s="84"/>
      <c r="C34" s="84"/>
      <c r="D34" s="22">
        <f>62.66</f>
        <v>62.66</v>
      </c>
      <c r="E34" s="22">
        <v>0</v>
      </c>
      <c r="F34" s="22">
        <v>0</v>
      </c>
      <c r="G34" s="22">
        <f>63</f>
        <v>63</v>
      </c>
      <c r="H34" s="22">
        <v>0</v>
      </c>
      <c r="I34" s="22">
        <f>26.25</f>
        <v>26.25</v>
      </c>
      <c r="J34" s="22">
        <v>0</v>
      </c>
      <c r="K34" s="22">
        <v>0</v>
      </c>
      <c r="L34" s="22">
        <f>83.55</f>
        <v>83.55</v>
      </c>
      <c r="M34" s="22">
        <v>0</v>
      </c>
      <c r="N34" s="22">
        <v>0</v>
      </c>
      <c r="O34" s="22">
        <v>0</v>
      </c>
      <c r="P34" s="21">
        <f t="shared" si="2"/>
        <v>235.45999999999998</v>
      </c>
      <c r="S34" s="13"/>
    </row>
    <row r="35" spans="1:32" ht="23.25" x14ac:dyDescent="0.35">
      <c r="A35" s="69" t="s">
        <v>77</v>
      </c>
      <c r="B35" s="70"/>
      <c r="C35" s="70"/>
      <c r="D35" s="70"/>
      <c r="E35" s="70"/>
      <c r="F35" s="70"/>
      <c r="G35" s="70"/>
      <c r="H35" s="70"/>
      <c r="I35" s="70"/>
      <c r="J35" s="70"/>
      <c r="K35" s="70"/>
      <c r="L35" s="70"/>
      <c r="M35" s="70"/>
      <c r="N35" s="70"/>
      <c r="O35" s="70"/>
      <c r="P35" s="71"/>
    </row>
    <row r="36" spans="1:32" ht="18.75" x14ac:dyDescent="0.3">
      <c r="A36" s="84" t="s">
        <v>101</v>
      </c>
      <c r="B36" s="84"/>
      <c r="C36" s="84"/>
      <c r="D36" s="22">
        <f>864</f>
        <v>864</v>
      </c>
      <c r="E36" s="22">
        <f>864</f>
        <v>864</v>
      </c>
      <c r="F36" s="22">
        <f>864</f>
        <v>864</v>
      </c>
      <c r="G36" s="22">
        <f>864</f>
        <v>864</v>
      </c>
      <c r="H36" s="22">
        <f>864</f>
        <v>864</v>
      </c>
      <c r="I36" s="22">
        <f>864</f>
        <v>864</v>
      </c>
      <c r="J36" s="22">
        <f>864</f>
        <v>864</v>
      </c>
      <c r="K36" s="22">
        <f>864</f>
        <v>864</v>
      </c>
      <c r="L36" s="22">
        <f>864</f>
        <v>864</v>
      </c>
      <c r="M36" s="22">
        <f>864</f>
        <v>864</v>
      </c>
      <c r="N36" s="22">
        <v>0</v>
      </c>
      <c r="O36" s="22">
        <v>0</v>
      </c>
      <c r="P36" s="21">
        <f t="shared" si="2"/>
        <v>8640</v>
      </c>
    </row>
    <row r="37" spans="1:32" ht="18.75" x14ac:dyDescent="0.3">
      <c r="A37" s="81" t="s">
        <v>86</v>
      </c>
      <c r="B37" s="82"/>
      <c r="C37" s="83"/>
      <c r="D37" s="22">
        <v>0</v>
      </c>
      <c r="E37" s="22">
        <v>0</v>
      </c>
      <c r="F37" s="22">
        <f>20</f>
        <v>20</v>
      </c>
      <c r="G37" s="22">
        <f>40</f>
        <v>40</v>
      </c>
      <c r="H37" s="22">
        <f>40</f>
        <v>40</v>
      </c>
      <c r="I37" s="22">
        <f>40</f>
        <v>40</v>
      </c>
      <c r="J37" s="22">
        <f>40</f>
        <v>40</v>
      </c>
      <c r="K37" s="22">
        <f>60</f>
        <v>60</v>
      </c>
      <c r="L37" s="22">
        <f>40</f>
        <v>40</v>
      </c>
      <c r="M37" s="22">
        <f>40</f>
        <v>40</v>
      </c>
      <c r="N37" s="22">
        <v>0</v>
      </c>
      <c r="O37" s="22">
        <v>0</v>
      </c>
      <c r="P37" s="21">
        <f t="shared" si="2"/>
        <v>320</v>
      </c>
      <c r="Q37" s="66"/>
    </row>
    <row r="38" spans="1:32" ht="18.75" x14ac:dyDescent="0.3">
      <c r="A38" s="84" t="s">
        <v>49</v>
      </c>
      <c r="B38" s="84"/>
      <c r="C38" s="84"/>
      <c r="D38" s="21">
        <v>0</v>
      </c>
      <c r="E38" s="22">
        <v>0</v>
      </c>
      <c r="F38" s="22">
        <v>0</v>
      </c>
      <c r="G38" s="22">
        <v>0</v>
      </c>
      <c r="H38" s="22">
        <v>0</v>
      </c>
      <c r="I38" s="22">
        <v>0</v>
      </c>
      <c r="J38" s="22">
        <v>0</v>
      </c>
      <c r="K38" s="22">
        <v>0</v>
      </c>
      <c r="L38" s="22">
        <v>0</v>
      </c>
      <c r="M38" s="22">
        <v>0</v>
      </c>
      <c r="N38" s="22">
        <v>0</v>
      </c>
      <c r="O38" s="22">
        <v>0</v>
      </c>
      <c r="P38" s="21">
        <f>SUM(D38:O38)</f>
        <v>0</v>
      </c>
      <c r="U38" s="12"/>
      <c r="V38" s="12"/>
      <c r="W38" s="12"/>
      <c r="X38" s="12"/>
      <c r="Y38" s="12"/>
      <c r="Z38" s="12"/>
      <c r="AA38" s="12"/>
      <c r="AB38" s="12"/>
      <c r="AC38" s="12"/>
      <c r="AD38" s="12"/>
      <c r="AE38" s="12"/>
      <c r="AF38" s="12"/>
    </row>
    <row r="39" spans="1:32" ht="18.75" x14ac:dyDescent="0.3">
      <c r="A39" s="84" t="s">
        <v>47</v>
      </c>
      <c r="B39" s="84"/>
      <c r="C39" s="84"/>
      <c r="D39" s="21">
        <v>0</v>
      </c>
      <c r="E39" s="22">
        <v>0</v>
      </c>
      <c r="F39" s="22">
        <v>0</v>
      </c>
      <c r="G39" s="22">
        <v>0</v>
      </c>
      <c r="H39" s="22">
        <v>0</v>
      </c>
      <c r="I39" s="22">
        <v>0</v>
      </c>
      <c r="J39" s="22">
        <v>0</v>
      </c>
      <c r="K39" s="22">
        <f>4.91</f>
        <v>4.91</v>
      </c>
      <c r="L39" s="22">
        <v>0</v>
      </c>
      <c r="M39" s="22">
        <v>0</v>
      </c>
      <c r="N39" s="22">
        <v>0</v>
      </c>
      <c r="O39" s="22">
        <v>0</v>
      </c>
      <c r="P39" s="21">
        <f>SUM(D39:O39)</f>
        <v>4.91</v>
      </c>
    </row>
    <row r="40" spans="1:32" ht="18.75" x14ac:dyDescent="0.3">
      <c r="A40" s="84" t="s">
        <v>108</v>
      </c>
      <c r="B40" s="84"/>
      <c r="C40" s="84"/>
      <c r="D40" s="21">
        <v>0</v>
      </c>
      <c r="E40" s="22">
        <v>0</v>
      </c>
      <c r="F40" s="22">
        <f>182.72</f>
        <v>182.72</v>
      </c>
      <c r="G40" s="22">
        <v>0</v>
      </c>
      <c r="H40" s="22">
        <f>85+315</f>
        <v>400</v>
      </c>
      <c r="I40" s="22">
        <v>0</v>
      </c>
      <c r="J40" s="22">
        <f>84.45</f>
        <v>84.45</v>
      </c>
      <c r="K40" s="22">
        <v>0</v>
      </c>
      <c r="L40" s="22">
        <f>135+785</f>
        <v>920</v>
      </c>
      <c r="M40" s="22">
        <v>0</v>
      </c>
      <c r="N40" s="22">
        <v>0</v>
      </c>
      <c r="O40" s="22">
        <v>0</v>
      </c>
      <c r="P40" s="21">
        <f t="shared" ref="P40:P48" si="3">SUM(D40:O40)</f>
        <v>1587.17</v>
      </c>
    </row>
    <row r="41" spans="1:32" ht="18.75" x14ac:dyDescent="0.3">
      <c r="A41" s="82" t="s">
        <v>103</v>
      </c>
      <c r="B41" s="82"/>
      <c r="C41" s="83"/>
      <c r="D41" s="21">
        <v>0</v>
      </c>
      <c r="E41" s="22">
        <v>0</v>
      </c>
      <c r="F41" s="22">
        <v>0</v>
      </c>
      <c r="G41" s="22">
        <v>0</v>
      </c>
      <c r="H41" s="22">
        <f>378</f>
        <v>378</v>
      </c>
      <c r="I41" s="22">
        <v>0</v>
      </c>
      <c r="J41" s="22">
        <v>0</v>
      </c>
      <c r="K41" s="22">
        <v>0</v>
      </c>
      <c r="L41" s="22">
        <v>0</v>
      </c>
      <c r="M41" s="22">
        <v>0</v>
      </c>
      <c r="N41" s="22">
        <v>0</v>
      </c>
      <c r="O41" s="22">
        <v>0</v>
      </c>
      <c r="P41" s="21">
        <f>SUM(D41:O42)</f>
        <v>378</v>
      </c>
    </row>
    <row r="42" spans="1:32" ht="18.75" x14ac:dyDescent="0.3">
      <c r="A42" s="82" t="s">
        <v>60</v>
      </c>
      <c r="B42" s="82"/>
      <c r="C42" s="83"/>
      <c r="D42" s="23">
        <v>0</v>
      </c>
      <c r="E42" s="22">
        <v>0</v>
      </c>
      <c r="F42" s="22">
        <v>0</v>
      </c>
      <c r="G42" s="22">
        <v>0</v>
      </c>
      <c r="H42" s="22">
        <v>0</v>
      </c>
      <c r="I42" s="22">
        <v>0</v>
      </c>
      <c r="J42" s="22">
        <v>0</v>
      </c>
      <c r="K42" s="22">
        <v>0</v>
      </c>
      <c r="L42" s="22">
        <v>0</v>
      </c>
      <c r="M42" s="22">
        <v>0</v>
      </c>
      <c r="N42" s="22">
        <v>0</v>
      </c>
      <c r="O42" s="22">
        <v>0</v>
      </c>
      <c r="P42" s="21">
        <f t="shared" si="3"/>
        <v>0</v>
      </c>
      <c r="Q42" s="18"/>
    </row>
    <row r="43" spans="1:32" ht="33" customHeight="1" x14ac:dyDescent="0.3">
      <c r="A43" s="96" t="s">
        <v>74</v>
      </c>
      <c r="B43" s="96"/>
      <c r="C43" s="97"/>
      <c r="D43" s="21">
        <v>0</v>
      </c>
      <c r="E43" s="22">
        <v>0</v>
      </c>
      <c r="F43" s="22">
        <v>0</v>
      </c>
      <c r="G43" s="22">
        <v>0</v>
      </c>
      <c r="H43" s="22">
        <v>0</v>
      </c>
      <c r="I43" s="22">
        <v>0</v>
      </c>
      <c r="J43" s="22">
        <v>0</v>
      </c>
      <c r="K43" s="22">
        <v>0</v>
      </c>
      <c r="L43" s="22">
        <v>0</v>
      </c>
      <c r="M43" s="22">
        <v>0</v>
      </c>
      <c r="N43" s="22">
        <v>0</v>
      </c>
      <c r="O43" s="22">
        <v>0</v>
      </c>
      <c r="P43" s="21">
        <f>SUM(D43:O43)</f>
        <v>0</v>
      </c>
      <c r="Q43" s="19"/>
    </row>
    <row r="44" spans="1:32" ht="23.25" x14ac:dyDescent="0.35">
      <c r="A44" s="69" t="s">
        <v>38</v>
      </c>
      <c r="B44" s="70"/>
      <c r="C44" s="70"/>
      <c r="D44" s="70"/>
      <c r="E44" s="70"/>
      <c r="F44" s="70"/>
      <c r="G44" s="70"/>
      <c r="H44" s="70"/>
      <c r="I44" s="70"/>
      <c r="J44" s="70"/>
      <c r="K44" s="70"/>
      <c r="L44" s="70"/>
      <c r="M44" s="70"/>
      <c r="N44" s="70"/>
      <c r="O44" s="70"/>
      <c r="P44" s="71"/>
      <c r="Q44" s="17"/>
    </row>
    <row r="45" spans="1:32" ht="18.75" x14ac:dyDescent="0.3">
      <c r="A45" s="84" t="s">
        <v>96</v>
      </c>
      <c r="B45" s="84"/>
      <c r="C45" s="84"/>
      <c r="D45" s="22">
        <f>398.45</f>
        <v>398.45</v>
      </c>
      <c r="E45" s="22">
        <f>378.15</f>
        <v>378.15</v>
      </c>
      <c r="F45" s="22">
        <f>387.02</f>
        <v>387.02</v>
      </c>
      <c r="G45" s="22">
        <f>379.05</f>
        <v>379.05</v>
      </c>
      <c r="H45" s="22">
        <f>382.86</f>
        <v>382.86</v>
      </c>
      <c r="I45" s="22">
        <f>391.02</f>
        <v>391.02</v>
      </c>
      <c r="J45" s="22">
        <f>394.47</f>
        <v>394.47</v>
      </c>
      <c r="K45" s="22">
        <f>388.39</f>
        <v>388.39</v>
      </c>
      <c r="L45" s="22">
        <f>387.32</f>
        <v>387.32</v>
      </c>
      <c r="M45" s="22">
        <f>401.53</f>
        <v>401.53</v>
      </c>
      <c r="N45" s="22">
        <v>0</v>
      </c>
      <c r="O45" s="22">
        <v>0</v>
      </c>
      <c r="P45" s="21">
        <f t="shared" si="3"/>
        <v>3888.2599999999993</v>
      </c>
    </row>
    <row r="46" spans="1:32" ht="18.75" x14ac:dyDescent="0.3">
      <c r="A46" s="59" t="s">
        <v>93</v>
      </c>
      <c r="B46" s="50"/>
      <c r="C46" s="60"/>
      <c r="D46" s="22">
        <f>34.87</f>
        <v>34.869999999999997</v>
      </c>
      <c r="E46" s="22">
        <f>23.9</f>
        <v>23.9</v>
      </c>
      <c r="F46" s="22">
        <f>253.19</f>
        <v>253.19</v>
      </c>
      <c r="G46" s="22">
        <f>29.24</f>
        <v>29.24</v>
      </c>
      <c r="H46" s="22">
        <f>25.7</f>
        <v>25.7</v>
      </c>
      <c r="I46" s="22">
        <f>27.26</f>
        <v>27.26</v>
      </c>
      <c r="J46" s="22">
        <f>25.7</f>
        <v>25.7</v>
      </c>
      <c r="K46" s="22">
        <f>32.87</f>
        <v>32.869999999999997</v>
      </c>
      <c r="L46" s="22">
        <f>25.75</f>
        <v>25.75</v>
      </c>
      <c r="M46" s="22">
        <f>31.05</f>
        <v>31.05</v>
      </c>
      <c r="N46" s="22">
        <v>0</v>
      </c>
      <c r="O46" s="22">
        <v>0</v>
      </c>
      <c r="P46" s="21">
        <f>SUM(D46:O46)</f>
        <v>509.53</v>
      </c>
    </row>
    <row r="47" spans="1:32" ht="18.75" x14ac:dyDescent="0.3">
      <c r="A47" s="81" t="s">
        <v>83</v>
      </c>
      <c r="B47" s="82"/>
      <c r="C47" s="83"/>
      <c r="D47" s="22">
        <v>0</v>
      </c>
      <c r="E47" s="22">
        <v>0</v>
      </c>
      <c r="F47" s="22">
        <f>60.93</f>
        <v>60.93</v>
      </c>
      <c r="G47" s="22">
        <v>0</v>
      </c>
      <c r="H47" s="22">
        <v>0</v>
      </c>
      <c r="I47" s="22">
        <v>0</v>
      </c>
      <c r="J47" s="22">
        <v>0</v>
      </c>
      <c r="K47" s="22">
        <v>0</v>
      </c>
      <c r="L47" s="22">
        <f>60.93</f>
        <v>60.93</v>
      </c>
      <c r="M47" s="22">
        <v>0</v>
      </c>
      <c r="N47" s="22">
        <v>0</v>
      </c>
      <c r="O47" s="22">
        <v>0</v>
      </c>
      <c r="P47" s="21">
        <f t="shared" si="3"/>
        <v>121.86</v>
      </c>
    </row>
    <row r="48" spans="1:32" ht="18.75" x14ac:dyDescent="0.3">
      <c r="A48" s="84" t="s">
        <v>110</v>
      </c>
      <c r="B48" s="84"/>
      <c r="C48" s="84"/>
      <c r="D48" s="22">
        <f>38</f>
        <v>38</v>
      </c>
      <c r="E48" s="22">
        <f>38</f>
        <v>38</v>
      </c>
      <c r="F48" s="22">
        <f>38</f>
        <v>38</v>
      </c>
      <c r="G48" s="22">
        <f>38</f>
        <v>38</v>
      </c>
      <c r="H48" s="22">
        <f>38</f>
        <v>38</v>
      </c>
      <c r="I48" s="22">
        <f>19+20.44</f>
        <v>39.44</v>
      </c>
      <c r="J48" s="22">
        <f>19+19</f>
        <v>38</v>
      </c>
      <c r="K48" s="22">
        <f>19+19</f>
        <v>38</v>
      </c>
      <c r="L48" s="22">
        <f>19+19</f>
        <v>38</v>
      </c>
      <c r="M48" s="22">
        <f>19+19</f>
        <v>38</v>
      </c>
      <c r="N48" s="22">
        <v>0</v>
      </c>
      <c r="O48" s="22">
        <v>0</v>
      </c>
      <c r="P48" s="21">
        <f t="shared" si="3"/>
        <v>381.44</v>
      </c>
    </row>
    <row r="49" spans="1:18" ht="23.25" x14ac:dyDescent="0.35">
      <c r="A49" s="69" t="s">
        <v>102</v>
      </c>
      <c r="B49" s="70"/>
      <c r="C49" s="70"/>
      <c r="D49" s="70"/>
      <c r="E49" s="70"/>
      <c r="F49" s="70"/>
      <c r="G49" s="70"/>
      <c r="H49" s="70"/>
      <c r="I49" s="70"/>
      <c r="J49" s="70"/>
      <c r="K49" s="70"/>
      <c r="L49" s="70"/>
      <c r="M49" s="70"/>
      <c r="N49" s="70"/>
      <c r="O49" s="70"/>
      <c r="P49" s="71"/>
    </row>
    <row r="50" spans="1:18" ht="18.75" x14ac:dyDescent="0.3">
      <c r="A50" s="84" t="s">
        <v>41</v>
      </c>
      <c r="B50" s="84"/>
      <c r="C50" s="84"/>
      <c r="D50" s="21">
        <v>0</v>
      </c>
      <c r="E50" s="21">
        <v>0</v>
      </c>
      <c r="F50" s="21">
        <v>0</v>
      </c>
      <c r="G50" s="21">
        <v>0</v>
      </c>
      <c r="H50" s="21">
        <v>0</v>
      </c>
      <c r="I50" s="21">
        <v>0</v>
      </c>
      <c r="J50" s="21">
        <v>0</v>
      </c>
      <c r="K50" s="21">
        <v>0</v>
      </c>
      <c r="L50" s="21">
        <v>0</v>
      </c>
      <c r="M50" s="21">
        <v>0</v>
      </c>
      <c r="N50" s="21">
        <v>0</v>
      </c>
      <c r="O50" s="22">
        <v>0</v>
      </c>
      <c r="P50" s="21">
        <f>SUM(D50:O50)</f>
        <v>0</v>
      </c>
    </row>
    <row r="51" spans="1:18" ht="18.75" x14ac:dyDescent="0.3">
      <c r="A51" s="84" t="s">
        <v>42</v>
      </c>
      <c r="B51" s="84"/>
      <c r="C51" s="84"/>
      <c r="D51" s="21">
        <v>0</v>
      </c>
      <c r="E51" s="21">
        <v>0</v>
      </c>
      <c r="F51" s="21">
        <v>0</v>
      </c>
      <c r="G51" s="21">
        <v>0</v>
      </c>
      <c r="H51" s="21">
        <v>0</v>
      </c>
      <c r="I51" s="21">
        <v>0</v>
      </c>
      <c r="J51" s="22">
        <v>0</v>
      </c>
      <c r="K51" s="21">
        <v>0</v>
      </c>
      <c r="L51" s="21">
        <v>0</v>
      </c>
      <c r="M51" s="21">
        <v>0</v>
      </c>
      <c r="N51" s="21">
        <v>0</v>
      </c>
      <c r="O51" s="22">
        <v>0</v>
      </c>
      <c r="P51" s="21">
        <f t="shared" ref="P51:P54" si="4">SUM(D51:O51)</f>
        <v>0</v>
      </c>
    </row>
    <row r="52" spans="1:18" ht="18.75" x14ac:dyDescent="0.3">
      <c r="A52" s="84" t="s">
        <v>43</v>
      </c>
      <c r="B52" s="84"/>
      <c r="C52" s="84"/>
      <c r="D52" s="21">
        <v>0</v>
      </c>
      <c r="E52" s="21">
        <v>0</v>
      </c>
      <c r="F52" s="21">
        <v>0</v>
      </c>
      <c r="G52" s="21">
        <v>0</v>
      </c>
      <c r="H52" s="21">
        <v>0</v>
      </c>
      <c r="I52" s="21">
        <v>0</v>
      </c>
      <c r="J52" s="21">
        <v>0</v>
      </c>
      <c r="K52" s="21">
        <v>0</v>
      </c>
      <c r="L52" s="21">
        <v>0</v>
      </c>
      <c r="M52" s="21">
        <v>0</v>
      </c>
      <c r="N52" s="21">
        <v>0</v>
      </c>
      <c r="O52" s="21">
        <v>0</v>
      </c>
      <c r="P52" s="21">
        <f t="shared" si="4"/>
        <v>0</v>
      </c>
    </row>
    <row r="53" spans="1:18" ht="18.75" x14ac:dyDescent="0.3">
      <c r="A53" s="84" t="s">
        <v>76</v>
      </c>
      <c r="B53" s="84"/>
      <c r="C53" s="84"/>
      <c r="D53" s="21">
        <v>0</v>
      </c>
      <c r="E53" s="21">
        <v>0</v>
      </c>
      <c r="F53" s="21">
        <f>99.26</f>
        <v>99.26</v>
      </c>
      <c r="G53" s="21">
        <v>0</v>
      </c>
      <c r="H53" s="21">
        <v>0</v>
      </c>
      <c r="I53" s="21">
        <v>0</v>
      </c>
      <c r="J53" s="21">
        <v>0</v>
      </c>
      <c r="K53" s="21">
        <v>0</v>
      </c>
      <c r="L53" s="21">
        <v>0</v>
      </c>
      <c r="M53" s="21">
        <v>0</v>
      </c>
      <c r="N53" s="21">
        <v>0</v>
      </c>
      <c r="O53" s="21">
        <v>0</v>
      </c>
      <c r="P53" s="21">
        <f>SUM(D53:O53)</f>
        <v>99.26</v>
      </c>
    </row>
    <row r="54" spans="1:18" ht="18.75" x14ac:dyDescent="0.3">
      <c r="A54" s="88" t="s">
        <v>106</v>
      </c>
      <c r="B54" s="88"/>
      <c r="C54" s="88"/>
      <c r="D54" s="21">
        <v>0</v>
      </c>
      <c r="E54" s="21">
        <v>0</v>
      </c>
      <c r="F54" s="21">
        <v>0</v>
      </c>
      <c r="G54" s="21">
        <f>4242.91</f>
        <v>4242.91</v>
      </c>
      <c r="H54" s="21">
        <v>0</v>
      </c>
      <c r="I54" s="21">
        <v>0</v>
      </c>
      <c r="J54" s="21">
        <v>0</v>
      </c>
      <c r="K54" s="21">
        <v>0</v>
      </c>
      <c r="L54" s="21">
        <v>0</v>
      </c>
      <c r="M54" s="21">
        <f>130.74+623.23+337.68+68.75+70.03+27.65+1000+36.83</f>
        <v>2294.91</v>
      </c>
      <c r="N54" s="21">
        <f>35+10.97</f>
        <v>45.97</v>
      </c>
      <c r="O54" s="21">
        <v>0</v>
      </c>
      <c r="P54" s="21">
        <f t="shared" si="4"/>
        <v>6583.79</v>
      </c>
      <c r="R54" t="s">
        <v>62</v>
      </c>
    </row>
    <row r="55" spans="1:18" ht="23.25" x14ac:dyDescent="0.35">
      <c r="A55" s="90" t="s">
        <v>61</v>
      </c>
      <c r="B55" s="91"/>
      <c r="C55" s="91"/>
      <c r="D55" s="91"/>
      <c r="E55" s="91"/>
      <c r="F55" s="91"/>
      <c r="G55" s="91"/>
      <c r="H55" s="91"/>
      <c r="I55" s="91"/>
      <c r="J55" s="91"/>
      <c r="K55" s="91"/>
      <c r="L55" s="91"/>
      <c r="M55" s="91"/>
      <c r="N55" s="91"/>
      <c r="O55" s="91"/>
      <c r="P55" s="92"/>
    </row>
    <row r="56" spans="1:18" ht="18.75" x14ac:dyDescent="0.3">
      <c r="A56" s="89" t="s">
        <v>61</v>
      </c>
      <c r="B56" s="89"/>
      <c r="C56" s="89"/>
      <c r="D56" s="20">
        <f t="shared" ref="D56:O56" si="5">SUM(D14:D54)</f>
        <v>1535.95</v>
      </c>
      <c r="E56" s="20">
        <f t="shared" si="5"/>
        <v>1380.52</v>
      </c>
      <c r="F56" s="20">
        <v>0</v>
      </c>
      <c r="G56" s="20">
        <f t="shared" si="5"/>
        <v>5742.2</v>
      </c>
      <c r="H56" s="20">
        <f t="shared" si="5"/>
        <v>2232.0299999999997</v>
      </c>
      <c r="I56" s="20">
        <f t="shared" si="5"/>
        <v>1522.47</v>
      </c>
      <c r="J56" s="20">
        <f t="shared" si="5"/>
        <v>1496.3400000000001</v>
      </c>
      <c r="K56" s="20">
        <f t="shared" si="5"/>
        <v>1430.6699999999998</v>
      </c>
      <c r="L56" s="20">
        <f t="shared" si="5"/>
        <v>2468.52</v>
      </c>
      <c r="M56" s="20">
        <f t="shared" si="5"/>
        <v>3734.21</v>
      </c>
      <c r="N56" s="20">
        <f t="shared" si="5"/>
        <v>60.97</v>
      </c>
      <c r="O56" s="20">
        <f t="shared" si="5"/>
        <v>0</v>
      </c>
      <c r="P56" s="20">
        <f>SUM(P14:P54)</f>
        <v>23627.469999999998</v>
      </c>
    </row>
    <row r="57" spans="1:18" ht="23.25" x14ac:dyDescent="0.35">
      <c r="A57" s="90" t="s">
        <v>45</v>
      </c>
      <c r="B57" s="91"/>
      <c r="C57" s="91"/>
      <c r="D57" s="91"/>
      <c r="E57" s="91"/>
      <c r="F57" s="91"/>
      <c r="G57" s="91"/>
      <c r="H57" s="91"/>
      <c r="I57" s="91"/>
      <c r="J57" s="91"/>
      <c r="K57" s="91"/>
      <c r="L57" s="91"/>
      <c r="M57" s="91"/>
      <c r="N57" s="91"/>
      <c r="O57" s="91"/>
      <c r="P57" s="92"/>
    </row>
    <row r="58" spans="1:18" ht="18.75" x14ac:dyDescent="0.3">
      <c r="A58" s="81" t="s">
        <v>45</v>
      </c>
      <c r="B58" s="82"/>
      <c r="C58" s="83"/>
      <c r="D58" s="35">
        <f>SUM(D6+D9+D7+D8)-(D56)</f>
        <v>26179.13</v>
      </c>
      <c r="E58" s="35">
        <f>SUM(E6+E9+E7+E8+D58)-(E56)</f>
        <v>28601.11</v>
      </c>
      <c r="F58" s="35">
        <f>SUM(F6+F9+F7+F8+E58)-(F56)</f>
        <v>30603.61</v>
      </c>
      <c r="G58" s="35">
        <f t="shared" ref="G58:N58" si="6">SUM(G6+G9+G7+G8+F58)-(G56)</f>
        <v>26188.91</v>
      </c>
      <c r="H58" s="35">
        <f t="shared" si="6"/>
        <v>24459.38</v>
      </c>
      <c r="I58" s="35">
        <f t="shared" si="6"/>
        <v>24836.31</v>
      </c>
      <c r="J58" s="35">
        <f t="shared" si="6"/>
        <v>23692.47</v>
      </c>
      <c r="K58" s="35">
        <f t="shared" si="6"/>
        <v>23364.300000000003</v>
      </c>
      <c r="L58" s="35">
        <f t="shared" si="6"/>
        <v>21173.280000000002</v>
      </c>
      <c r="M58" s="35">
        <f t="shared" si="6"/>
        <v>17664.070000000003</v>
      </c>
      <c r="N58" s="35">
        <f t="shared" si="6"/>
        <v>17603.100000000002</v>
      </c>
      <c r="O58" s="35">
        <f>SUM(O6+O9+O7+O8+O10+N58)-(O56)</f>
        <v>17603.100000000002</v>
      </c>
      <c r="P58" s="35">
        <v>0</v>
      </c>
    </row>
    <row r="59" spans="1:18" x14ac:dyDescent="0.25">
      <c r="A59" s="85"/>
      <c r="B59" s="86"/>
      <c r="C59" s="86"/>
      <c r="D59" s="86"/>
      <c r="E59" s="86"/>
      <c r="F59" s="86"/>
      <c r="G59" s="86"/>
      <c r="H59" s="86"/>
      <c r="I59" s="86"/>
      <c r="J59" s="86"/>
      <c r="K59" s="86"/>
      <c r="L59" s="86"/>
      <c r="M59" s="86"/>
      <c r="N59" s="86"/>
      <c r="O59" s="86"/>
      <c r="P59" s="86"/>
    </row>
    <row r="60" spans="1:18" x14ac:dyDescent="0.25">
      <c r="A60" s="87"/>
      <c r="B60" s="87"/>
      <c r="C60" s="87"/>
      <c r="D60" s="87"/>
      <c r="E60" s="87"/>
      <c r="F60" s="87"/>
      <c r="G60" s="87"/>
      <c r="H60" s="87"/>
      <c r="I60" s="87"/>
      <c r="J60" s="87"/>
      <c r="K60" s="87"/>
      <c r="L60" s="87"/>
      <c r="M60" s="87"/>
      <c r="N60" s="87"/>
      <c r="O60" s="87"/>
      <c r="P60" s="87"/>
    </row>
    <row r="61" spans="1:18" ht="23.25" x14ac:dyDescent="0.35">
      <c r="A61" s="44" t="s">
        <v>105</v>
      </c>
      <c r="B61" s="45"/>
      <c r="C61" s="45"/>
      <c r="D61" s="45"/>
      <c r="E61" s="45"/>
    </row>
    <row r="62" spans="1:18" ht="29.25" customHeight="1" x14ac:dyDescent="0.35">
      <c r="A62" s="48"/>
      <c r="B62" s="45"/>
      <c r="C62" s="45"/>
      <c r="D62" s="45"/>
      <c r="E62" s="45"/>
      <c r="F62" s="45"/>
    </row>
    <row r="63" spans="1:18" ht="38.25" customHeight="1" x14ac:dyDescent="0.35">
      <c r="A63" s="48"/>
      <c r="D63" s="53"/>
    </row>
    <row r="64" spans="1:18" ht="23.25" x14ac:dyDescent="0.35">
      <c r="A64" s="42"/>
    </row>
    <row r="65" spans="1:1" ht="28.5" customHeight="1" x14ac:dyDescent="0.35">
      <c r="A65" s="49"/>
    </row>
    <row r="66" spans="1:1" ht="33.75" customHeight="1" x14ac:dyDescent="0.35">
      <c r="A66" s="49"/>
    </row>
    <row r="67" spans="1:1" s="55" customFormat="1" ht="33" customHeight="1" x14ac:dyDescent="0.25">
      <c r="A67" s="54"/>
    </row>
    <row r="68" spans="1:1" ht="44.25" customHeight="1" x14ac:dyDescent="0.5">
      <c r="A68" s="56"/>
    </row>
    <row r="69" spans="1:1" ht="33.75" customHeight="1" x14ac:dyDescent="0.35">
      <c r="A69" s="57"/>
    </row>
    <row r="70" spans="1:1" ht="21" x14ac:dyDescent="0.35">
      <c r="A70" s="58"/>
    </row>
    <row r="72" spans="1:1" ht="45" customHeight="1" x14ac:dyDescent="0.35">
      <c r="A72" s="45"/>
    </row>
  </sheetData>
  <mergeCells count="52">
    <mergeCell ref="A44:P44"/>
    <mergeCell ref="A49:P49"/>
    <mergeCell ref="A5:P5"/>
    <mergeCell ref="A12:P12"/>
    <mergeCell ref="A11:P11"/>
    <mergeCell ref="A30:C30"/>
    <mergeCell ref="A31:C31"/>
    <mergeCell ref="A32:C32"/>
    <mergeCell ref="A33:C33"/>
    <mergeCell ref="A34:C34"/>
    <mergeCell ref="A36:C36"/>
    <mergeCell ref="A37:C37"/>
    <mergeCell ref="A38:C38"/>
    <mergeCell ref="A39:C39"/>
    <mergeCell ref="A40:C40"/>
    <mergeCell ref="A43:C43"/>
    <mergeCell ref="A59:P60"/>
    <mergeCell ref="A45:C45"/>
    <mergeCell ref="A47:C47"/>
    <mergeCell ref="A48:C48"/>
    <mergeCell ref="A50:C50"/>
    <mergeCell ref="A51:C51"/>
    <mergeCell ref="A52:C52"/>
    <mergeCell ref="A53:C53"/>
    <mergeCell ref="A54:C54"/>
    <mergeCell ref="A56:C56"/>
    <mergeCell ref="A55:P55"/>
    <mergeCell ref="A57:P57"/>
    <mergeCell ref="A58:C58"/>
    <mergeCell ref="A42:C42"/>
    <mergeCell ref="A41:C41"/>
    <mergeCell ref="A35:P35"/>
    <mergeCell ref="A29:C29"/>
    <mergeCell ref="A25:C25"/>
    <mergeCell ref="A26:C26"/>
    <mergeCell ref="A14:C14"/>
    <mergeCell ref="A17:C17"/>
    <mergeCell ref="A18:C18"/>
    <mergeCell ref="A20:C20"/>
    <mergeCell ref="A21:C21"/>
    <mergeCell ref="A22:C22"/>
    <mergeCell ref="A23:C23"/>
    <mergeCell ref="A24:C24"/>
    <mergeCell ref="A28:C28"/>
    <mergeCell ref="A27:P27"/>
    <mergeCell ref="A13:P13"/>
    <mergeCell ref="A1:L1"/>
    <mergeCell ref="M1:P1"/>
    <mergeCell ref="A2:P2"/>
    <mergeCell ref="A6:C6"/>
    <mergeCell ref="A7:C7"/>
    <mergeCell ref="A3:C3"/>
  </mergeCells>
  <phoneticPr fontId="22" type="noConversion"/>
  <printOptions horizontalCentered="1" verticalCentered="1"/>
  <pageMargins left="0" right="0" top="0" bottom="0" header="0" footer="0"/>
  <pageSetup scale="45" fitToHeight="0"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9"/>
  <sheetViews>
    <sheetView topLeftCell="A31" zoomScale="86" zoomScaleNormal="86" workbookViewId="0">
      <selection activeCell="G16" sqref="G16:K16"/>
    </sheetView>
  </sheetViews>
  <sheetFormatPr defaultRowHeight="15" x14ac:dyDescent="0.25"/>
  <cols>
    <col min="1" max="1" width="46.42578125" customWidth="1"/>
    <col min="3" max="3" width="10.5703125" customWidth="1"/>
    <col min="4" max="15" width="12.140625" bestFit="1" customWidth="1"/>
    <col min="16" max="16" width="14.7109375" customWidth="1"/>
  </cols>
  <sheetData>
    <row r="1" spans="1:18" ht="28.5" x14ac:dyDescent="0.45">
      <c r="A1" s="103" t="s">
        <v>88</v>
      </c>
      <c r="B1" s="73"/>
      <c r="C1" s="73"/>
      <c r="D1" s="73"/>
      <c r="E1" s="73"/>
      <c r="F1" s="73"/>
      <c r="G1" s="73"/>
      <c r="H1" s="73"/>
      <c r="I1" s="73"/>
      <c r="J1" s="73"/>
      <c r="K1" s="73"/>
      <c r="L1" s="74"/>
      <c r="M1" s="104" t="s">
        <v>0</v>
      </c>
      <c r="N1" s="76"/>
      <c r="O1" s="76"/>
      <c r="P1" s="77"/>
    </row>
    <row r="2" spans="1:18" ht="18.75" x14ac:dyDescent="0.3">
      <c r="A2" s="105" t="s">
        <v>48</v>
      </c>
      <c r="B2" s="79"/>
      <c r="C2" s="79"/>
      <c r="D2" s="79"/>
      <c r="E2" s="79"/>
      <c r="F2" s="79"/>
      <c r="G2" s="79"/>
      <c r="H2" s="79"/>
      <c r="I2" s="79"/>
      <c r="J2" s="79"/>
      <c r="K2" s="79"/>
      <c r="L2" s="79"/>
      <c r="M2" s="79"/>
      <c r="N2" s="79"/>
      <c r="O2" s="79"/>
      <c r="P2" s="80"/>
    </row>
    <row r="3" spans="1:18" x14ac:dyDescent="0.25">
      <c r="A3" s="1" t="s">
        <v>56</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1</v>
      </c>
      <c r="E4" s="1" t="s">
        <v>2</v>
      </c>
      <c r="F4" s="1" t="s">
        <v>3</v>
      </c>
      <c r="G4" s="1" t="s">
        <v>4</v>
      </c>
      <c r="H4" s="1" t="s">
        <v>5</v>
      </c>
      <c r="I4" s="1" t="s">
        <v>6</v>
      </c>
      <c r="J4" s="1" t="s">
        <v>7</v>
      </c>
      <c r="K4" s="1" t="s">
        <v>8</v>
      </c>
      <c r="L4" s="1" t="s">
        <v>9</v>
      </c>
      <c r="M4" s="1" t="s">
        <v>10</v>
      </c>
      <c r="N4" s="1" t="s">
        <v>11</v>
      </c>
      <c r="O4" s="1" t="s">
        <v>12</v>
      </c>
      <c r="P4" s="1" t="s">
        <v>13</v>
      </c>
    </row>
    <row r="5" spans="1:18" ht="23.25" x14ac:dyDescent="0.35">
      <c r="A5" s="106" t="s">
        <v>14</v>
      </c>
      <c r="B5" s="106"/>
      <c r="C5" s="106"/>
      <c r="D5" s="1"/>
      <c r="E5" s="1"/>
      <c r="F5" s="1"/>
      <c r="G5" s="1"/>
      <c r="H5" s="1"/>
      <c r="I5" s="1"/>
      <c r="J5" s="1"/>
      <c r="K5" s="1"/>
      <c r="L5" s="1"/>
      <c r="M5" s="1"/>
      <c r="N5" s="1"/>
      <c r="O5" s="1"/>
      <c r="P5" s="1"/>
    </row>
    <row r="6" spans="1:18" x14ac:dyDescent="0.25">
      <c r="A6" s="1" t="s">
        <v>15</v>
      </c>
      <c r="B6" s="1"/>
      <c r="C6" s="1"/>
      <c r="D6" s="2">
        <v>27900</v>
      </c>
      <c r="E6" s="33">
        <v>0</v>
      </c>
      <c r="F6" s="33">
        <v>0</v>
      </c>
      <c r="G6" s="33">
        <v>0</v>
      </c>
      <c r="H6" s="33">
        <v>0</v>
      </c>
      <c r="I6" s="33">
        <v>0</v>
      </c>
      <c r="J6" s="33">
        <v>0</v>
      </c>
      <c r="K6" s="33">
        <v>0</v>
      </c>
      <c r="L6" s="33">
        <v>0</v>
      </c>
      <c r="M6" s="33">
        <v>0</v>
      </c>
      <c r="N6" s="33">
        <v>0</v>
      </c>
      <c r="O6" s="33">
        <v>0</v>
      </c>
      <c r="P6" s="2">
        <f>SUM(D6:O6)</f>
        <v>27900</v>
      </c>
    </row>
    <row r="7" spans="1:18" ht="30" x14ac:dyDescent="0.25">
      <c r="A7" s="32" t="s">
        <v>66</v>
      </c>
      <c r="B7" s="1"/>
      <c r="C7" s="30"/>
      <c r="D7" s="2">
        <v>202.5</v>
      </c>
      <c r="E7" s="2">
        <v>202.5</v>
      </c>
      <c r="F7" s="2">
        <v>202.5</v>
      </c>
      <c r="G7" s="2">
        <v>202.5</v>
      </c>
      <c r="H7" s="2">
        <v>202.5</v>
      </c>
      <c r="I7" s="2">
        <v>202.5</v>
      </c>
      <c r="J7" s="2">
        <v>202.5</v>
      </c>
      <c r="K7" s="2">
        <v>202.5</v>
      </c>
      <c r="L7" s="2">
        <v>202.5</v>
      </c>
      <c r="M7" s="2">
        <v>202.5</v>
      </c>
      <c r="N7" s="2">
        <v>202.5</v>
      </c>
      <c r="O7" s="2">
        <v>202.5</v>
      </c>
      <c r="P7" s="31">
        <f>+SUM(D7:O7)</f>
        <v>2430</v>
      </c>
    </row>
    <row r="8" spans="1:18" ht="39" customHeight="1" x14ac:dyDescent="0.3">
      <c r="A8" s="47" t="s">
        <v>87</v>
      </c>
      <c r="B8" s="46"/>
      <c r="D8" s="2"/>
      <c r="E8" s="1"/>
      <c r="F8" s="1"/>
      <c r="G8" s="1"/>
      <c r="H8" s="1"/>
      <c r="I8" s="1"/>
      <c r="J8" s="1"/>
      <c r="K8" s="1"/>
      <c r="L8" s="1"/>
      <c r="M8" s="1"/>
      <c r="N8" s="1"/>
      <c r="O8" s="1"/>
      <c r="P8" s="2">
        <f>SUM(D8+O8)</f>
        <v>0</v>
      </c>
    </row>
    <row r="9" spans="1:18" ht="18.75" x14ac:dyDescent="0.3">
      <c r="A9" s="107" t="s">
        <v>20</v>
      </c>
      <c r="B9" s="107"/>
      <c r="C9" s="107"/>
      <c r="D9" s="1"/>
      <c r="E9" s="1"/>
      <c r="F9" s="1"/>
      <c r="G9" s="1"/>
      <c r="H9" s="1"/>
      <c r="I9" s="1"/>
      <c r="J9" s="1"/>
      <c r="K9" s="1"/>
      <c r="L9" s="1"/>
      <c r="M9" s="1"/>
      <c r="N9" s="1"/>
      <c r="O9" s="1"/>
      <c r="P9" s="1"/>
    </row>
    <row r="10" spans="1:18" ht="23.25" x14ac:dyDescent="0.35">
      <c r="A10" s="106" t="s">
        <v>21</v>
      </c>
      <c r="B10" s="106"/>
      <c r="C10" s="106"/>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109" t="s">
        <v>22</v>
      </c>
      <c r="B12" s="109"/>
      <c r="C12" s="109"/>
      <c r="D12" s="1" t="s">
        <v>1</v>
      </c>
      <c r="E12" s="1" t="s">
        <v>2</v>
      </c>
      <c r="F12" s="1" t="s">
        <v>3</v>
      </c>
      <c r="G12" s="1" t="s">
        <v>4</v>
      </c>
      <c r="H12" s="1" t="s">
        <v>5</v>
      </c>
      <c r="I12" s="1" t="s">
        <v>6</v>
      </c>
      <c r="J12" s="1" t="s">
        <v>7</v>
      </c>
      <c r="K12" s="1" t="s">
        <v>8</v>
      </c>
      <c r="L12" s="1" t="s">
        <v>9</v>
      </c>
      <c r="M12" s="1" t="s">
        <v>10</v>
      </c>
      <c r="N12" s="1" t="s">
        <v>11</v>
      </c>
      <c r="O12" s="1" t="s">
        <v>12</v>
      </c>
      <c r="P12" s="1" t="s">
        <v>23</v>
      </c>
    </row>
    <row r="13" spans="1:18" x14ac:dyDescent="0.25">
      <c r="A13" s="108" t="s">
        <v>24</v>
      </c>
      <c r="B13" s="108"/>
      <c r="C13" s="108"/>
      <c r="D13" s="1" t="s">
        <v>16</v>
      </c>
      <c r="E13" s="2">
        <v>200</v>
      </c>
      <c r="F13" s="1" t="s">
        <v>16</v>
      </c>
      <c r="G13" s="1" t="s">
        <v>19</v>
      </c>
      <c r="H13" s="2" t="s">
        <v>63</v>
      </c>
      <c r="I13" s="1" t="s">
        <v>25</v>
      </c>
      <c r="J13" s="1" t="s">
        <v>26</v>
      </c>
      <c r="K13" s="1" t="s">
        <v>19</v>
      </c>
      <c r="L13" s="1" t="s">
        <v>16</v>
      </c>
      <c r="M13" s="1" t="s">
        <v>18</v>
      </c>
      <c r="N13" s="1" t="s">
        <v>27</v>
      </c>
      <c r="O13" s="1" t="s">
        <v>16</v>
      </c>
      <c r="P13" s="2">
        <f t="shared" ref="P13:P21" si="0">SUM(D13:O13)</f>
        <v>200</v>
      </c>
    </row>
    <row r="14" spans="1:18" x14ac:dyDescent="0.25">
      <c r="A14" s="108" t="s">
        <v>28</v>
      </c>
      <c r="B14" s="108"/>
      <c r="C14" s="108"/>
      <c r="D14" s="1" t="s">
        <v>16</v>
      </c>
      <c r="E14" s="1" t="s">
        <v>19</v>
      </c>
      <c r="F14" s="1">
        <v>0</v>
      </c>
      <c r="G14" s="1">
        <f>110.5</f>
        <v>110.5</v>
      </c>
      <c r="H14" s="2">
        <f>110.5</f>
        <v>110.5</v>
      </c>
      <c r="I14" s="1" t="s">
        <v>19</v>
      </c>
      <c r="J14" s="1" t="s">
        <v>17</v>
      </c>
      <c r="K14" s="1" t="s">
        <v>19</v>
      </c>
      <c r="L14" s="1">
        <v>0</v>
      </c>
      <c r="M14" s="1" t="s">
        <v>16</v>
      </c>
      <c r="N14" s="1" t="s">
        <v>19</v>
      </c>
      <c r="O14" s="1" t="s">
        <v>16</v>
      </c>
      <c r="P14" s="2">
        <f t="shared" si="0"/>
        <v>221</v>
      </c>
    </row>
    <row r="15" spans="1:18" x14ac:dyDescent="0.25">
      <c r="A15" s="63" t="s">
        <v>29</v>
      </c>
      <c r="B15" s="63"/>
      <c r="C15" s="63"/>
      <c r="D15" s="1"/>
      <c r="E15" s="1"/>
      <c r="F15" s="1"/>
      <c r="G15" s="1"/>
      <c r="H15" s="2"/>
      <c r="I15" s="1"/>
      <c r="J15" s="1"/>
      <c r="K15" s="1"/>
      <c r="L15" s="1"/>
      <c r="M15" s="1"/>
      <c r="N15" s="1"/>
      <c r="O15" s="3">
        <f>810</f>
        <v>810</v>
      </c>
      <c r="P15" s="4">
        <f>SUM(D16:O16)</f>
        <v>200</v>
      </c>
    </row>
    <row r="16" spans="1:18" x14ac:dyDescent="0.25">
      <c r="A16" s="108" t="s">
        <v>99</v>
      </c>
      <c r="B16" s="108"/>
      <c r="C16" s="108"/>
      <c r="D16" s="11">
        <f>25</f>
        <v>25</v>
      </c>
      <c r="E16" s="3">
        <f>25</f>
        <v>25</v>
      </c>
      <c r="F16" s="3">
        <f>25</f>
        <v>25</v>
      </c>
      <c r="G16" s="3">
        <f>25</f>
        <v>25</v>
      </c>
      <c r="H16" s="3">
        <f>25</f>
        <v>25</v>
      </c>
      <c r="I16" s="3">
        <f>25</f>
        <v>25</v>
      </c>
      <c r="J16" s="3">
        <f>25</f>
        <v>25</v>
      </c>
      <c r="K16" s="3">
        <f>25</f>
        <v>25</v>
      </c>
      <c r="L16" s="3">
        <v>0</v>
      </c>
      <c r="M16" s="3">
        <v>0</v>
      </c>
      <c r="N16" s="3">
        <v>0</v>
      </c>
      <c r="O16" s="64" t="s">
        <v>19</v>
      </c>
      <c r="R16" s="14"/>
    </row>
    <row r="17" spans="1:19" x14ac:dyDescent="0.25">
      <c r="A17" s="108" t="s">
        <v>90</v>
      </c>
      <c r="B17" s="108"/>
      <c r="C17" s="108"/>
      <c r="D17" s="2">
        <v>67</v>
      </c>
      <c r="E17" s="2">
        <v>67</v>
      </c>
      <c r="F17" s="2">
        <v>67</v>
      </c>
      <c r="G17" s="2">
        <v>67</v>
      </c>
      <c r="H17" s="2">
        <v>67</v>
      </c>
      <c r="I17" s="2">
        <v>67</v>
      </c>
      <c r="J17" s="2">
        <v>67</v>
      </c>
      <c r="K17" s="2">
        <v>67</v>
      </c>
      <c r="L17" s="2">
        <v>67</v>
      </c>
      <c r="M17" s="2">
        <v>67</v>
      </c>
      <c r="N17" s="2">
        <v>67</v>
      </c>
      <c r="O17" s="2">
        <v>67</v>
      </c>
      <c r="P17" s="2">
        <f>SUM(D17:O17)</f>
        <v>804</v>
      </c>
    </row>
    <row r="18" spans="1:19" x14ac:dyDescent="0.25">
      <c r="A18" s="108" t="s">
        <v>30</v>
      </c>
      <c r="B18" s="108"/>
      <c r="C18" s="108"/>
      <c r="D18" s="2">
        <v>0</v>
      </c>
      <c r="E18" s="3">
        <v>0</v>
      </c>
      <c r="F18" s="3">
        <v>0</v>
      </c>
      <c r="G18" s="3">
        <v>0</v>
      </c>
      <c r="H18" s="3">
        <v>0</v>
      </c>
      <c r="I18" s="3">
        <v>0</v>
      </c>
      <c r="J18" s="3">
        <v>0</v>
      </c>
      <c r="K18" s="3">
        <v>0</v>
      </c>
      <c r="L18" s="3"/>
      <c r="M18" s="3">
        <v>0</v>
      </c>
      <c r="N18" s="3">
        <v>2900</v>
      </c>
      <c r="O18" s="3">
        <v>0</v>
      </c>
      <c r="P18" s="2">
        <f t="shared" si="0"/>
        <v>2900</v>
      </c>
    </row>
    <row r="19" spans="1:19" x14ac:dyDescent="0.25">
      <c r="A19" s="108" t="s">
        <v>59</v>
      </c>
      <c r="B19" s="108"/>
      <c r="C19" s="108"/>
      <c r="D19" s="11"/>
      <c r="E19" s="3">
        <v>0</v>
      </c>
      <c r="F19" s="3">
        <v>0</v>
      </c>
      <c r="G19" s="3">
        <v>0</v>
      </c>
      <c r="H19" s="3">
        <v>0</v>
      </c>
      <c r="I19" s="3">
        <v>0</v>
      </c>
      <c r="J19" s="3">
        <v>0</v>
      </c>
      <c r="K19" s="3">
        <v>0</v>
      </c>
      <c r="L19" s="3">
        <v>0</v>
      </c>
      <c r="M19" s="3">
        <v>0</v>
      </c>
      <c r="N19" s="3">
        <v>0</v>
      </c>
      <c r="O19" s="3">
        <v>0</v>
      </c>
      <c r="P19" s="3">
        <f t="shared" si="0"/>
        <v>0</v>
      </c>
    </row>
    <row r="20" spans="1:19" x14ac:dyDescent="0.25">
      <c r="A20" s="108" t="s">
        <v>31</v>
      </c>
      <c r="B20" s="108"/>
      <c r="C20" s="108"/>
      <c r="D20" s="3">
        <v>0</v>
      </c>
      <c r="E20" s="3">
        <v>0</v>
      </c>
      <c r="F20" s="3">
        <v>0</v>
      </c>
      <c r="G20" s="3">
        <v>0</v>
      </c>
      <c r="H20" s="3">
        <v>0</v>
      </c>
      <c r="I20" s="3">
        <v>0</v>
      </c>
      <c r="J20" s="3">
        <v>0</v>
      </c>
      <c r="K20" s="3">
        <v>0</v>
      </c>
      <c r="L20" s="3">
        <v>0</v>
      </c>
      <c r="M20" s="3">
        <v>0</v>
      </c>
      <c r="N20" s="11">
        <v>15</v>
      </c>
      <c r="O20" s="2" t="s">
        <v>64</v>
      </c>
      <c r="P20" s="4">
        <f t="shared" si="0"/>
        <v>15</v>
      </c>
    </row>
    <row r="21" spans="1:19" x14ac:dyDescent="0.25">
      <c r="A21" s="108" t="s">
        <v>89</v>
      </c>
      <c r="B21" s="108"/>
      <c r="C21" s="108"/>
      <c r="D21" s="3">
        <v>128.9</v>
      </c>
      <c r="E21" s="3">
        <v>0</v>
      </c>
      <c r="F21" s="3">
        <v>0</v>
      </c>
      <c r="G21" s="3">
        <v>98</v>
      </c>
      <c r="H21" s="3">
        <v>84</v>
      </c>
      <c r="I21" s="3">
        <v>54</v>
      </c>
      <c r="J21" s="3">
        <v>0</v>
      </c>
      <c r="K21" s="3">
        <v>0</v>
      </c>
      <c r="L21" s="3">
        <v>0</v>
      </c>
      <c r="M21" s="3">
        <v>0</v>
      </c>
      <c r="N21" s="3">
        <v>0</v>
      </c>
      <c r="O21" s="3">
        <v>135.1</v>
      </c>
      <c r="P21" s="4">
        <f t="shared" si="0"/>
        <v>500</v>
      </c>
    </row>
    <row r="22" spans="1:19" x14ac:dyDescent="0.25">
      <c r="A22" s="8" t="s">
        <v>50</v>
      </c>
      <c r="B22" s="9"/>
      <c r="C22" s="10"/>
      <c r="D22" s="29">
        <v>50</v>
      </c>
      <c r="E22" s="29">
        <v>50</v>
      </c>
      <c r="F22" s="29">
        <v>50</v>
      </c>
      <c r="G22" s="29">
        <v>50</v>
      </c>
      <c r="H22" s="29">
        <v>50</v>
      </c>
      <c r="I22" s="29">
        <v>50</v>
      </c>
      <c r="J22" s="29">
        <v>50</v>
      </c>
      <c r="K22" s="29">
        <v>50</v>
      </c>
      <c r="L22" s="29">
        <v>50</v>
      </c>
      <c r="M22" s="29">
        <v>50</v>
      </c>
      <c r="N22" s="29">
        <v>50</v>
      </c>
      <c r="O22" s="29">
        <v>50</v>
      </c>
      <c r="P22" s="2">
        <f>SUM(D22:O22)</f>
        <v>600</v>
      </c>
    </row>
    <row r="23" spans="1:19" ht="18.75" x14ac:dyDescent="0.3">
      <c r="A23" s="109" t="s">
        <v>33</v>
      </c>
      <c r="B23" s="109"/>
      <c r="C23" s="109"/>
      <c r="D23" s="1"/>
      <c r="E23" s="1"/>
      <c r="F23" s="1"/>
      <c r="G23" s="1"/>
      <c r="H23" s="1"/>
      <c r="I23" s="1"/>
      <c r="J23" s="1"/>
      <c r="K23" s="1"/>
      <c r="L23" s="1"/>
      <c r="M23" s="1"/>
      <c r="N23" s="1"/>
      <c r="O23" s="1"/>
      <c r="P23" s="1"/>
    </row>
    <row r="24" spans="1:19" x14ac:dyDescent="0.25">
      <c r="A24" s="108"/>
      <c r="B24" s="108"/>
      <c r="C24" s="108"/>
      <c r="D24" s="3">
        <v>0</v>
      </c>
      <c r="E24" s="3">
        <v>0</v>
      </c>
      <c r="F24" s="3">
        <v>0</v>
      </c>
      <c r="G24" s="3">
        <v>0</v>
      </c>
      <c r="H24" s="3">
        <v>0</v>
      </c>
      <c r="I24" s="3">
        <v>0</v>
      </c>
      <c r="J24" s="3">
        <v>0</v>
      </c>
      <c r="K24" s="3">
        <v>0</v>
      </c>
      <c r="L24" s="3">
        <v>0</v>
      </c>
      <c r="M24" s="3">
        <v>0</v>
      </c>
      <c r="N24" s="3">
        <v>0</v>
      </c>
      <c r="O24" s="2" t="s">
        <v>65</v>
      </c>
      <c r="P24" s="4">
        <f t="shared" ref="P24:P30" si="1">SUM(D24:O24)</f>
        <v>0</v>
      </c>
    </row>
    <row r="25" spans="1:19" x14ac:dyDescent="0.25">
      <c r="A25" s="108"/>
      <c r="B25" s="108"/>
      <c r="C25" s="108"/>
      <c r="D25" s="11">
        <v>0</v>
      </c>
      <c r="E25" s="2">
        <v>0</v>
      </c>
      <c r="F25" s="2">
        <v>0</v>
      </c>
      <c r="G25" s="11">
        <v>0</v>
      </c>
      <c r="H25" s="11">
        <v>0</v>
      </c>
      <c r="I25" s="11">
        <v>0</v>
      </c>
      <c r="J25" s="11">
        <v>0</v>
      </c>
      <c r="K25" s="11">
        <v>0</v>
      </c>
      <c r="L25" s="11">
        <v>0</v>
      </c>
      <c r="M25" s="11">
        <v>0</v>
      </c>
      <c r="N25" s="11">
        <v>0</v>
      </c>
      <c r="O25" s="11">
        <v>0</v>
      </c>
      <c r="P25" s="4">
        <f t="shared" si="1"/>
        <v>0</v>
      </c>
    </row>
    <row r="26" spans="1:19" x14ac:dyDescent="0.25">
      <c r="A26" s="108"/>
      <c r="B26" s="108"/>
      <c r="C26" s="108"/>
      <c r="D26" s="3">
        <v>0</v>
      </c>
      <c r="E26" s="3">
        <v>0</v>
      </c>
      <c r="F26" s="3" t="s">
        <v>17</v>
      </c>
      <c r="G26" s="2" t="s">
        <v>78</v>
      </c>
      <c r="H26" s="3">
        <v>0</v>
      </c>
      <c r="I26" s="3">
        <v>0</v>
      </c>
      <c r="J26" s="3">
        <v>0</v>
      </c>
      <c r="K26" s="3">
        <v>0</v>
      </c>
      <c r="L26" s="3">
        <v>0</v>
      </c>
      <c r="M26" s="3">
        <v>0</v>
      </c>
      <c r="N26" s="3">
        <v>0</v>
      </c>
      <c r="O26" s="3">
        <v>0</v>
      </c>
      <c r="P26" s="4">
        <f t="shared" si="1"/>
        <v>0</v>
      </c>
    </row>
    <row r="27" spans="1:19" x14ac:dyDescent="0.25">
      <c r="A27" s="108"/>
      <c r="B27" s="108"/>
      <c r="C27" s="108"/>
      <c r="D27" s="3">
        <v>0</v>
      </c>
      <c r="E27" s="3">
        <v>0</v>
      </c>
      <c r="F27" s="3">
        <v>0</v>
      </c>
      <c r="G27" s="3">
        <v>0</v>
      </c>
      <c r="H27" s="3">
        <v>350</v>
      </c>
      <c r="I27" s="3">
        <v>0</v>
      </c>
      <c r="J27" s="3">
        <v>0</v>
      </c>
      <c r="K27" s="3">
        <v>0</v>
      </c>
      <c r="L27" s="3">
        <v>0</v>
      </c>
      <c r="M27" s="3">
        <v>0</v>
      </c>
      <c r="N27" s="3">
        <v>0</v>
      </c>
      <c r="O27" s="3">
        <v>0</v>
      </c>
      <c r="P27" s="4"/>
    </row>
    <row r="28" spans="1:19" x14ac:dyDescent="0.25">
      <c r="A28" s="108"/>
      <c r="B28" s="108"/>
      <c r="C28" s="108"/>
      <c r="D28" s="2">
        <v>0</v>
      </c>
      <c r="E28" s="2">
        <v>0</v>
      </c>
      <c r="F28" s="2">
        <v>0</v>
      </c>
      <c r="G28" s="2">
        <v>0</v>
      </c>
      <c r="H28" s="2">
        <v>0</v>
      </c>
      <c r="I28" s="2">
        <v>0</v>
      </c>
      <c r="J28" s="2">
        <v>0</v>
      </c>
      <c r="K28" s="2">
        <v>0</v>
      </c>
      <c r="L28" s="2">
        <v>0</v>
      </c>
      <c r="M28" s="2">
        <v>0</v>
      </c>
      <c r="N28" s="2">
        <v>0</v>
      </c>
      <c r="O28" s="2">
        <v>0</v>
      </c>
      <c r="P28" s="2">
        <f t="shared" si="1"/>
        <v>0</v>
      </c>
    </row>
    <row r="29" spans="1:19" x14ac:dyDescent="0.25">
      <c r="A29" s="108"/>
      <c r="B29" s="108"/>
      <c r="C29" s="108"/>
      <c r="D29" s="2">
        <v>0</v>
      </c>
      <c r="E29" s="2">
        <v>0</v>
      </c>
      <c r="F29" s="2">
        <v>0</v>
      </c>
      <c r="G29" s="2">
        <v>0</v>
      </c>
      <c r="H29" s="2">
        <v>0</v>
      </c>
      <c r="I29" s="2">
        <v>0</v>
      </c>
      <c r="J29" s="2">
        <v>0</v>
      </c>
      <c r="K29" s="2">
        <v>0</v>
      </c>
      <c r="L29" s="2">
        <f>55</f>
        <v>55</v>
      </c>
      <c r="M29" s="2">
        <v>0</v>
      </c>
      <c r="N29" s="2">
        <v>0</v>
      </c>
      <c r="O29" s="2">
        <v>0</v>
      </c>
      <c r="P29" s="2"/>
    </row>
    <row r="30" spans="1:19" x14ac:dyDescent="0.25">
      <c r="D30" s="2"/>
      <c r="E30" s="11">
        <v>0</v>
      </c>
      <c r="F30" s="2">
        <v>0</v>
      </c>
      <c r="G30" s="11"/>
      <c r="H30" s="2"/>
      <c r="I30" s="11"/>
      <c r="J30" s="2">
        <v>0</v>
      </c>
      <c r="K30" s="11">
        <v>0</v>
      </c>
      <c r="L30" s="2">
        <v>0</v>
      </c>
      <c r="M30" s="11">
        <v>0</v>
      </c>
      <c r="N30" s="2">
        <v>0</v>
      </c>
      <c r="O30" s="11"/>
      <c r="P30" s="2">
        <f t="shared" si="1"/>
        <v>0</v>
      </c>
      <c r="S30" s="13"/>
    </row>
    <row r="31" spans="1:19" x14ac:dyDescent="0.25">
      <c r="A31" s="1"/>
      <c r="B31" s="1"/>
      <c r="C31" s="1"/>
      <c r="D31" s="1"/>
      <c r="E31" s="1"/>
      <c r="F31" s="1"/>
      <c r="G31" s="1"/>
      <c r="H31" s="1"/>
      <c r="I31" s="1"/>
      <c r="J31" s="1"/>
      <c r="K31" s="1"/>
      <c r="L31" s="1"/>
      <c r="M31" s="1"/>
      <c r="N31" s="1"/>
      <c r="O31" s="1"/>
      <c r="P31" s="1"/>
    </row>
    <row r="32" spans="1:19" ht="18.75" x14ac:dyDescent="0.3">
      <c r="A32" s="109" t="s">
        <v>37</v>
      </c>
      <c r="B32" s="109"/>
      <c r="C32" s="109"/>
      <c r="D32" s="1"/>
      <c r="E32" s="1"/>
      <c r="F32" s="1"/>
      <c r="G32" s="1"/>
      <c r="H32" s="1"/>
      <c r="I32" s="1"/>
      <c r="J32" s="1"/>
      <c r="K32" s="1"/>
      <c r="L32" s="1"/>
      <c r="M32" s="1"/>
      <c r="N32" s="1"/>
      <c r="O32" s="1"/>
      <c r="P32" s="1"/>
    </row>
    <row r="33" spans="1:32" x14ac:dyDescent="0.25">
      <c r="A33" s="108" t="s">
        <v>92</v>
      </c>
      <c r="B33" s="108"/>
      <c r="C33" s="108"/>
      <c r="D33" s="2">
        <v>864</v>
      </c>
      <c r="E33" s="2">
        <v>864</v>
      </c>
      <c r="F33" s="2">
        <v>864</v>
      </c>
      <c r="G33" s="2">
        <v>864</v>
      </c>
      <c r="H33" s="2">
        <v>864</v>
      </c>
      <c r="I33" s="2">
        <v>864</v>
      </c>
      <c r="J33" s="2">
        <v>864</v>
      </c>
      <c r="K33" s="2">
        <v>864</v>
      </c>
      <c r="L33" s="2">
        <v>864</v>
      </c>
      <c r="M33" s="2">
        <v>864</v>
      </c>
      <c r="N33" s="2">
        <v>864</v>
      </c>
      <c r="O33" s="2">
        <v>864</v>
      </c>
      <c r="P33" s="2">
        <f t="shared" ref="P33:P38" si="2">SUM(D33:O33)</f>
        <v>10368</v>
      </c>
    </row>
    <row r="34" spans="1:32" x14ac:dyDescent="0.25">
      <c r="A34" s="100" t="s">
        <v>91</v>
      </c>
      <c r="B34" s="101"/>
      <c r="C34" s="102"/>
      <c r="D34" s="2" t="s">
        <v>80</v>
      </c>
      <c r="E34" s="2" t="s">
        <v>17</v>
      </c>
      <c r="F34" s="2">
        <v>0</v>
      </c>
      <c r="G34" s="2">
        <v>40</v>
      </c>
      <c r="H34" s="2">
        <v>40</v>
      </c>
      <c r="I34" s="2">
        <v>40</v>
      </c>
      <c r="J34" s="2">
        <v>40</v>
      </c>
      <c r="K34" s="2">
        <v>40</v>
      </c>
      <c r="L34" s="2">
        <v>40</v>
      </c>
      <c r="M34" s="2">
        <v>20</v>
      </c>
      <c r="N34" s="2">
        <v>20</v>
      </c>
      <c r="O34" s="2" t="s">
        <v>79</v>
      </c>
      <c r="P34" s="2">
        <f t="shared" si="2"/>
        <v>280</v>
      </c>
    </row>
    <row r="35" spans="1:32" x14ac:dyDescent="0.25">
      <c r="A35" s="108" t="s">
        <v>49</v>
      </c>
      <c r="B35" s="108"/>
      <c r="C35" s="108"/>
      <c r="D35" s="3">
        <v>0</v>
      </c>
      <c r="E35" s="3">
        <v>0</v>
      </c>
      <c r="F35" s="3">
        <v>0</v>
      </c>
      <c r="G35" s="3">
        <v>0</v>
      </c>
      <c r="H35" s="3">
        <v>0</v>
      </c>
      <c r="I35" s="3">
        <v>100</v>
      </c>
      <c r="J35" s="3">
        <v>0</v>
      </c>
      <c r="K35" s="3">
        <v>0</v>
      </c>
      <c r="L35" s="3">
        <v>100</v>
      </c>
      <c r="M35" s="3">
        <v>0</v>
      </c>
      <c r="N35" s="3">
        <v>0</v>
      </c>
      <c r="O35" s="3">
        <v>100</v>
      </c>
      <c r="P35" s="3">
        <f t="shared" si="2"/>
        <v>300</v>
      </c>
      <c r="U35" s="12"/>
      <c r="V35" s="12"/>
      <c r="W35" s="12"/>
      <c r="X35" s="12"/>
      <c r="Y35" s="12"/>
      <c r="Z35" s="12"/>
      <c r="AA35" s="12"/>
      <c r="AB35" s="12"/>
      <c r="AC35" s="12"/>
      <c r="AD35" s="12"/>
      <c r="AE35" s="12"/>
      <c r="AF35" s="12"/>
    </row>
    <row r="36" spans="1:32" x14ac:dyDescent="0.25">
      <c r="A36" s="108" t="s">
        <v>47</v>
      </c>
      <c r="B36" s="108"/>
      <c r="C36" s="108"/>
      <c r="D36" s="3">
        <v>0</v>
      </c>
      <c r="E36" s="3">
        <v>0</v>
      </c>
      <c r="F36" s="3"/>
      <c r="G36" s="11">
        <v>200</v>
      </c>
      <c r="H36" s="3">
        <v>0</v>
      </c>
      <c r="I36" s="3">
        <v>200</v>
      </c>
      <c r="J36" s="3">
        <v>0</v>
      </c>
      <c r="K36" s="3">
        <v>0</v>
      </c>
      <c r="L36" s="3">
        <v>0</v>
      </c>
      <c r="M36" s="11">
        <v>200</v>
      </c>
      <c r="N36" s="3">
        <v>0</v>
      </c>
      <c r="O36" s="3">
        <v>0</v>
      </c>
      <c r="P36" s="3">
        <f t="shared" si="2"/>
        <v>600</v>
      </c>
    </row>
    <row r="37" spans="1:32" x14ac:dyDescent="0.25">
      <c r="A37" s="108" t="s">
        <v>69</v>
      </c>
      <c r="B37" s="108"/>
      <c r="C37" s="108"/>
      <c r="D37" s="3">
        <v>0</v>
      </c>
      <c r="E37" s="3">
        <v>0</v>
      </c>
      <c r="F37" s="3">
        <v>0</v>
      </c>
      <c r="G37" s="3">
        <v>0</v>
      </c>
      <c r="H37" s="3">
        <v>0</v>
      </c>
      <c r="I37" s="3">
        <v>0</v>
      </c>
      <c r="J37" s="3">
        <v>0</v>
      </c>
      <c r="K37" s="3">
        <v>0</v>
      </c>
      <c r="L37" s="3">
        <v>0</v>
      </c>
      <c r="M37" s="3">
        <v>0</v>
      </c>
      <c r="N37" s="3">
        <v>0</v>
      </c>
      <c r="O37" s="3">
        <v>0</v>
      </c>
      <c r="P37" s="3">
        <f t="shared" si="2"/>
        <v>0</v>
      </c>
    </row>
    <row r="38" spans="1:32" x14ac:dyDescent="0.25">
      <c r="A38" s="6" t="s">
        <v>84</v>
      </c>
      <c r="B38" s="6"/>
      <c r="C38" s="7"/>
      <c r="D38" s="3">
        <v>0</v>
      </c>
      <c r="E38" s="3">
        <v>0</v>
      </c>
      <c r="F38" s="3">
        <v>0</v>
      </c>
      <c r="G38" s="3">
        <v>0</v>
      </c>
      <c r="H38" s="3">
        <v>0</v>
      </c>
      <c r="I38" s="3">
        <f>860</f>
        <v>860</v>
      </c>
      <c r="J38" s="3">
        <v>0</v>
      </c>
      <c r="K38" s="3">
        <v>0</v>
      </c>
      <c r="L38" s="3">
        <v>0</v>
      </c>
      <c r="M38" s="3">
        <v>0</v>
      </c>
      <c r="N38" s="3">
        <v>0</v>
      </c>
      <c r="O38" s="3">
        <v>0</v>
      </c>
      <c r="P38" s="3">
        <f t="shared" si="2"/>
        <v>860</v>
      </c>
    </row>
    <row r="39" spans="1:32" x14ac:dyDescent="0.25">
      <c r="A39" s="6" t="s">
        <v>60</v>
      </c>
      <c r="B39" s="6"/>
      <c r="C39" s="7"/>
      <c r="D39" s="16">
        <v>1500</v>
      </c>
      <c r="E39" s="11"/>
      <c r="F39" s="11"/>
      <c r="G39" s="11"/>
      <c r="H39" s="11"/>
      <c r="I39" s="11"/>
      <c r="J39" s="11"/>
      <c r="K39" s="11"/>
      <c r="L39" s="11"/>
      <c r="M39" s="11"/>
      <c r="N39" s="11"/>
      <c r="O39" s="11"/>
      <c r="P39" s="15">
        <v>1500</v>
      </c>
      <c r="Q39" s="18"/>
    </row>
    <row r="40" spans="1:32" x14ac:dyDescent="0.25">
      <c r="A40" s="9" t="s">
        <v>51</v>
      </c>
      <c r="B40" s="9"/>
      <c r="C40" s="10"/>
      <c r="D40" s="3">
        <v>100</v>
      </c>
      <c r="E40" s="3">
        <v>100</v>
      </c>
      <c r="F40" s="3"/>
      <c r="G40" s="3">
        <v>100</v>
      </c>
      <c r="H40" s="3">
        <v>100</v>
      </c>
      <c r="I40" s="3"/>
      <c r="J40" s="3">
        <v>100</v>
      </c>
      <c r="K40" s="3">
        <v>100</v>
      </c>
      <c r="L40" s="3">
        <v>100</v>
      </c>
      <c r="M40" s="3"/>
      <c r="N40" s="3">
        <v>100</v>
      </c>
      <c r="O40" s="3">
        <v>100</v>
      </c>
      <c r="P40" s="52">
        <f>SUM(D40:O40)</f>
        <v>900</v>
      </c>
      <c r="Q40" s="19"/>
    </row>
    <row r="41" spans="1:32" ht="18.75" x14ac:dyDescent="0.3">
      <c r="A41" s="109" t="s">
        <v>38</v>
      </c>
      <c r="B41" s="109"/>
      <c r="C41" s="109"/>
      <c r="D41" s="1"/>
      <c r="E41" s="1"/>
      <c r="F41" s="1"/>
      <c r="G41" s="1"/>
      <c r="H41" s="1"/>
      <c r="I41" s="1"/>
      <c r="J41" s="1"/>
      <c r="K41" s="1"/>
      <c r="L41" s="1"/>
      <c r="M41" s="1"/>
      <c r="N41" s="1"/>
      <c r="O41" s="1"/>
      <c r="P41" s="1"/>
      <c r="Q41" s="17"/>
    </row>
    <row r="42" spans="1:32" x14ac:dyDescent="0.25">
      <c r="A42" s="108" t="s">
        <v>94</v>
      </c>
      <c r="B42" s="108"/>
      <c r="C42" s="108"/>
      <c r="D42" s="2">
        <v>335</v>
      </c>
      <c r="E42" s="2">
        <v>335</v>
      </c>
      <c r="F42" s="2">
        <v>335</v>
      </c>
      <c r="G42" s="2">
        <v>335</v>
      </c>
      <c r="H42" s="2">
        <v>335</v>
      </c>
      <c r="I42" s="2">
        <v>335</v>
      </c>
      <c r="J42" s="2">
        <v>335</v>
      </c>
      <c r="K42" s="2">
        <v>335</v>
      </c>
      <c r="L42" s="2">
        <v>335</v>
      </c>
      <c r="M42" s="2">
        <v>335</v>
      </c>
      <c r="N42" s="2">
        <v>335</v>
      </c>
      <c r="O42" s="2">
        <v>335</v>
      </c>
      <c r="P42" s="5">
        <f>SUM(D42:O42)</f>
        <v>4020</v>
      </c>
    </row>
    <row r="43" spans="1:32" x14ac:dyDescent="0.25">
      <c r="A43" s="61" t="s">
        <v>93</v>
      </c>
      <c r="B43" s="6"/>
      <c r="C43" s="7"/>
      <c r="D43" s="2">
        <v>22</v>
      </c>
      <c r="E43" s="2">
        <v>22</v>
      </c>
      <c r="F43" s="2">
        <v>22</v>
      </c>
      <c r="G43" s="2">
        <v>22</v>
      </c>
      <c r="H43" s="2">
        <v>22</v>
      </c>
      <c r="I43" s="2">
        <v>22</v>
      </c>
      <c r="J43" s="2">
        <v>22</v>
      </c>
      <c r="K43" s="2">
        <v>22</v>
      </c>
      <c r="L43" s="2">
        <v>22</v>
      </c>
      <c r="M43" s="2">
        <v>22</v>
      </c>
      <c r="N43" s="2">
        <v>22</v>
      </c>
      <c r="O43" s="2">
        <v>22</v>
      </c>
      <c r="P43" s="5">
        <f>SUM(D43:O43)</f>
        <v>264</v>
      </c>
    </row>
    <row r="44" spans="1:32" x14ac:dyDescent="0.25">
      <c r="A44" s="61" t="s">
        <v>82</v>
      </c>
      <c r="B44" s="6"/>
      <c r="C44" s="7"/>
      <c r="D44" s="2"/>
      <c r="E44" s="2"/>
      <c r="F44" s="2">
        <v>54</v>
      </c>
      <c r="G44" s="2"/>
      <c r="H44" s="2"/>
      <c r="I44" s="2">
        <v>54</v>
      </c>
      <c r="J44" s="2"/>
      <c r="K44" s="2"/>
      <c r="L44" s="2">
        <v>54</v>
      </c>
      <c r="M44" s="2"/>
      <c r="N44" s="2"/>
      <c r="O44" s="2">
        <v>54</v>
      </c>
      <c r="P44" s="2">
        <f>SUM(D44:O44)</f>
        <v>216</v>
      </c>
    </row>
    <row r="45" spans="1:32" x14ac:dyDescent="0.25">
      <c r="A45" s="108" t="s">
        <v>39</v>
      </c>
      <c r="B45" s="108"/>
      <c r="C45" s="108"/>
      <c r="D45" s="2">
        <v>30</v>
      </c>
      <c r="E45" s="2">
        <v>30</v>
      </c>
      <c r="F45" s="2">
        <v>30</v>
      </c>
      <c r="G45" s="2">
        <v>30</v>
      </c>
      <c r="H45" s="2">
        <v>30</v>
      </c>
      <c r="I45" s="2">
        <v>30</v>
      </c>
      <c r="J45" s="2">
        <v>30</v>
      </c>
      <c r="K45" s="2">
        <v>30</v>
      </c>
      <c r="L45" s="2">
        <v>30</v>
      </c>
      <c r="M45" s="2">
        <v>30</v>
      </c>
      <c r="N45" s="2">
        <v>30</v>
      </c>
      <c r="O45" s="2">
        <v>30</v>
      </c>
      <c r="P45" s="2">
        <f>SUM(D45:O45)</f>
        <v>360</v>
      </c>
    </row>
    <row r="46" spans="1:32" ht="18.75" x14ac:dyDescent="0.3">
      <c r="A46" s="109" t="s">
        <v>40</v>
      </c>
      <c r="B46" s="109"/>
      <c r="C46" s="109"/>
      <c r="D46" s="1"/>
      <c r="E46" s="1"/>
      <c r="F46" s="1"/>
      <c r="G46" s="1"/>
      <c r="H46" s="1"/>
      <c r="I46" s="1"/>
      <c r="J46" s="1"/>
      <c r="K46" s="1"/>
      <c r="L46" s="1"/>
      <c r="M46" s="1"/>
      <c r="N46" s="1"/>
      <c r="O46" s="1"/>
      <c r="P46" s="1"/>
    </row>
    <row r="47" spans="1:32" x14ac:dyDescent="0.25">
      <c r="A47" s="108" t="s">
        <v>41</v>
      </c>
      <c r="B47" s="108"/>
      <c r="C47" s="108"/>
      <c r="D47" s="3">
        <v>0</v>
      </c>
      <c r="E47" s="3">
        <v>0</v>
      </c>
      <c r="F47" s="3">
        <v>0</v>
      </c>
      <c r="G47" s="3">
        <v>0</v>
      </c>
      <c r="H47" s="3">
        <v>0</v>
      </c>
      <c r="I47" s="3">
        <v>0</v>
      </c>
      <c r="J47" s="3">
        <v>0</v>
      </c>
      <c r="K47" s="3">
        <v>0</v>
      </c>
      <c r="L47" s="3">
        <v>0</v>
      </c>
      <c r="M47" s="3">
        <v>0</v>
      </c>
      <c r="N47" s="3">
        <v>0</v>
      </c>
      <c r="O47" s="2"/>
      <c r="P47" s="3">
        <f>SUM(D47:O47)</f>
        <v>0</v>
      </c>
    </row>
    <row r="48" spans="1:32" x14ac:dyDescent="0.25">
      <c r="A48" s="108" t="s">
        <v>42</v>
      </c>
      <c r="B48" s="108"/>
      <c r="C48" s="108"/>
      <c r="D48" s="3">
        <v>0</v>
      </c>
      <c r="E48" s="3">
        <v>0</v>
      </c>
      <c r="F48" s="3">
        <v>0</v>
      </c>
      <c r="G48" s="3">
        <v>0</v>
      </c>
      <c r="H48" s="3">
        <v>0</v>
      </c>
      <c r="I48" s="3">
        <v>0</v>
      </c>
      <c r="J48" s="2"/>
      <c r="K48" s="3">
        <v>0</v>
      </c>
      <c r="L48" s="3">
        <v>0</v>
      </c>
      <c r="M48" s="3">
        <v>0</v>
      </c>
      <c r="N48" s="3">
        <v>0</v>
      </c>
      <c r="O48" s="2"/>
      <c r="P48" s="3">
        <f t="shared" ref="P48:P51" si="3">SUM(D48:O48)</f>
        <v>0</v>
      </c>
    </row>
    <row r="49" spans="1:16" x14ac:dyDescent="0.25">
      <c r="A49" s="111" t="s">
        <v>43</v>
      </c>
      <c r="B49" s="111"/>
      <c r="C49" s="111"/>
      <c r="D49" s="3">
        <v>0</v>
      </c>
      <c r="E49" s="3">
        <v>0</v>
      </c>
      <c r="F49" s="3">
        <v>0</v>
      </c>
      <c r="G49" s="3">
        <v>0</v>
      </c>
      <c r="H49" s="3">
        <v>0</v>
      </c>
      <c r="I49" s="3">
        <v>0</v>
      </c>
      <c r="J49" s="3">
        <v>0</v>
      </c>
      <c r="K49" s="3">
        <v>0</v>
      </c>
      <c r="L49" s="3">
        <v>0</v>
      </c>
      <c r="M49" s="3">
        <v>0</v>
      </c>
      <c r="N49" s="3">
        <v>0</v>
      </c>
      <c r="O49" s="3">
        <v>0</v>
      </c>
      <c r="P49" s="3">
        <f t="shared" si="3"/>
        <v>0</v>
      </c>
    </row>
    <row r="50" spans="1:16" x14ac:dyDescent="0.25">
      <c r="A50" s="108" t="s">
        <v>44</v>
      </c>
      <c r="B50" s="108"/>
      <c r="C50" s="108"/>
      <c r="D50" s="3">
        <v>0</v>
      </c>
      <c r="E50" s="3">
        <v>0</v>
      </c>
      <c r="F50" s="3">
        <v>0</v>
      </c>
      <c r="G50" s="3">
        <v>0</v>
      </c>
      <c r="H50" s="3">
        <v>0</v>
      </c>
      <c r="I50" s="3">
        <v>0</v>
      </c>
      <c r="J50" s="3">
        <v>0</v>
      </c>
      <c r="K50" s="3">
        <v>0</v>
      </c>
      <c r="L50" s="3">
        <v>0</v>
      </c>
      <c r="M50" s="3">
        <v>0</v>
      </c>
      <c r="N50" s="3">
        <v>0</v>
      </c>
      <c r="O50" s="3">
        <v>0</v>
      </c>
      <c r="P50" s="3">
        <f t="shared" si="3"/>
        <v>0</v>
      </c>
    </row>
    <row r="51" spans="1:16" x14ac:dyDescent="0.25">
      <c r="A51" s="108" t="s">
        <v>95</v>
      </c>
      <c r="B51" s="108"/>
      <c r="C51" s="108"/>
      <c r="D51" s="3"/>
      <c r="E51" s="3">
        <v>0</v>
      </c>
      <c r="F51" s="3">
        <v>0</v>
      </c>
      <c r="G51" s="3">
        <v>0</v>
      </c>
      <c r="H51" s="3"/>
      <c r="I51" s="3">
        <v>0</v>
      </c>
      <c r="J51" s="3">
        <v>0</v>
      </c>
      <c r="K51" s="3">
        <v>0</v>
      </c>
      <c r="L51" s="3">
        <v>0</v>
      </c>
      <c r="M51" s="3">
        <v>0</v>
      </c>
      <c r="N51" s="3">
        <v>0</v>
      </c>
      <c r="O51" s="3">
        <v>0</v>
      </c>
      <c r="P51" s="3">
        <f t="shared" si="3"/>
        <v>0</v>
      </c>
    </row>
    <row r="52" spans="1:16" x14ac:dyDescent="0.25">
      <c r="A52" s="1"/>
      <c r="B52" s="1"/>
      <c r="C52" s="1"/>
      <c r="D52" s="1"/>
      <c r="E52" s="1"/>
      <c r="F52" s="1"/>
      <c r="G52" s="1"/>
      <c r="H52" s="1"/>
      <c r="I52" s="1"/>
      <c r="J52" s="1"/>
      <c r="K52" s="1"/>
      <c r="L52" s="1"/>
      <c r="M52" s="1"/>
      <c r="N52" s="1"/>
      <c r="O52" s="1"/>
      <c r="P52" s="1"/>
    </row>
    <row r="53" spans="1:16" x14ac:dyDescent="0.25">
      <c r="A53" s="1"/>
      <c r="B53" s="1"/>
      <c r="C53" s="1"/>
      <c r="D53" s="1"/>
      <c r="E53" s="1"/>
      <c r="F53" s="1"/>
      <c r="G53" s="1"/>
      <c r="H53" s="1"/>
      <c r="I53" s="1"/>
      <c r="J53" s="1"/>
      <c r="K53" s="1"/>
      <c r="L53" s="1"/>
      <c r="M53" s="1"/>
      <c r="N53" s="1"/>
      <c r="O53" s="1"/>
      <c r="P53" s="1"/>
    </row>
    <row r="54" spans="1:16" ht="21" x14ac:dyDescent="0.35">
      <c r="A54" s="110" t="s">
        <v>54</v>
      </c>
      <c r="B54" s="110"/>
      <c r="C54" s="110"/>
      <c r="D54" s="2">
        <f>SUM(D13:D51)</f>
        <v>3121.9</v>
      </c>
      <c r="E54" s="2">
        <f t="shared" ref="E54:O54" si="4">SUM(E7:E53)</f>
        <v>1895.5</v>
      </c>
      <c r="F54" s="2">
        <f t="shared" si="4"/>
        <v>1649.5</v>
      </c>
      <c r="G54" s="2">
        <f t="shared" si="4"/>
        <v>2144</v>
      </c>
      <c r="H54" s="2">
        <f t="shared" si="4"/>
        <v>2280</v>
      </c>
      <c r="I54" s="2">
        <f t="shared" si="4"/>
        <v>2903.5</v>
      </c>
      <c r="J54" s="2">
        <f t="shared" si="4"/>
        <v>1735.5</v>
      </c>
      <c r="K54" s="2">
        <f t="shared" si="4"/>
        <v>1735.5</v>
      </c>
      <c r="L54" s="2">
        <f t="shared" si="4"/>
        <v>1919.5</v>
      </c>
      <c r="M54" s="2">
        <f t="shared" si="4"/>
        <v>1790.5</v>
      </c>
      <c r="N54" s="2">
        <f t="shared" si="4"/>
        <v>4605.5</v>
      </c>
      <c r="O54" s="2">
        <f t="shared" si="4"/>
        <v>2769.6</v>
      </c>
      <c r="P54" s="2">
        <f>SUM(P13:P53)</f>
        <v>25108</v>
      </c>
    </row>
    <row r="55" spans="1:16" x14ac:dyDescent="0.25">
      <c r="A55" s="1"/>
      <c r="B55" s="1"/>
      <c r="C55" s="1"/>
      <c r="D55" s="1"/>
      <c r="E55" s="1"/>
      <c r="F55" s="1"/>
      <c r="G55" s="1"/>
      <c r="H55" s="1"/>
      <c r="I55" s="1"/>
      <c r="J55" s="1"/>
      <c r="K55" s="1"/>
      <c r="L55" s="1"/>
      <c r="M55" s="1"/>
      <c r="N55" s="1"/>
      <c r="O55" s="1"/>
      <c r="P55" s="1"/>
    </row>
    <row r="56" spans="1:16" x14ac:dyDescent="0.25">
      <c r="A56" s="1"/>
      <c r="B56" s="1"/>
      <c r="C56" s="1"/>
      <c r="D56" s="1"/>
      <c r="E56" s="1"/>
      <c r="F56" s="1"/>
      <c r="G56" s="1"/>
      <c r="H56" s="1"/>
      <c r="I56" s="1"/>
      <c r="J56" s="1"/>
      <c r="K56" s="1"/>
      <c r="L56" s="1"/>
      <c r="M56" s="1"/>
      <c r="N56" s="1"/>
      <c r="O56" s="1"/>
      <c r="P56" s="1"/>
    </row>
    <row r="57" spans="1:16" ht="21" x14ac:dyDescent="0.35">
      <c r="A57" s="110" t="s">
        <v>45</v>
      </c>
      <c r="B57" s="110"/>
      <c r="C57" s="110"/>
      <c r="D57" s="2">
        <f>(D6+D7) -D54</f>
        <v>24980.6</v>
      </c>
      <c r="E57" s="2">
        <f>(D57+E7+E6)-E54</f>
        <v>23287.599999999999</v>
      </c>
      <c r="F57" s="2">
        <f t="shared" ref="F57:O57" si="5">(E57+F7)-F54</f>
        <v>21840.6</v>
      </c>
      <c r="G57" s="2">
        <f t="shared" si="5"/>
        <v>19899.099999999999</v>
      </c>
      <c r="H57" s="2">
        <f t="shared" si="5"/>
        <v>17821.599999999999</v>
      </c>
      <c r="I57" s="2">
        <f t="shared" si="5"/>
        <v>15120.599999999999</v>
      </c>
      <c r="J57" s="2">
        <f t="shared" si="5"/>
        <v>13587.599999999999</v>
      </c>
      <c r="K57" s="2">
        <f t="shared" si="5"/>
        <v>12054.599999999999</v>
      </c>
      <c r="L57" s="2">
        <f t="shared" si="5"/>
        <v>10337.599999999999</v>
      </c>
      <c r="M57" s="2">
        <f t="shared" si="5"/>
        <v>8749.5999999999985</v>
      </c>
      <c r="N57" s="2">
        <f t="shared" si="5"/>
        <v>4346.5999999999985</v>
      </c>
      <c r="O57" s="2">
        <f t="shared" si="5"/>
        <v>1779.4999999999986</v>
      </c>
      <c r="P57" s="2">
        <f>SUM(+D7+P6+P9+P7+P8)-(P54)</f>
        <v>5424.5</v>
      </c>
    </row>
    <row r="58" spans="1:16" x14ac:dyDescent="0.25">
      <c r="A58" s="98" t="s">
        <v>46</v>
      </c>
      <c r="B58" s="98"/>
      <c r="C58" s="98"/>
      <c r="D58" s="98"/>
      <c r="E58" s="98"/>
      <c r="F58" s="98"/>
      <c r="G58" s="98"/>
      <c r="H58" s="98"/>
      <c r="I58" s="98"/>
      <c r="J58" s="98"/>
      <c r="K58" s="98"/>
      <c r="L58" s="98"/>
      <c r="M58" s="98"/>
      <c r="N58" s="98"/>
      <c r="O58" s="98"/>
      <c r="P58" s="98"/>
    </row>
    <row r="59" spans="1:16" x14ac:dyDescent="0.25">
      <c r="A59" s="99"/>
      <c r="B59" s="99"/>
      <c r="C59" s="99"/>
      <c r="D59" s="99"/>
      <c r="E59" s="99"/>
      <c r="F59" s="99"/>
      <c r="G59" s="99"/>
      <c r="H59" s="99"/>
      <c r="I59" s="99"/>
      <c r="J59" s="99"/>
      <c r="K59" s="99"/>
      <c r="L59" s="99"/>
      <c r="M59" s="99"/>
      <c r="N59" s="99"/>
      <c r="O59" s="99"/>
      <c r="P59" s="99"/>
    </row>
  </sheetData>
  <mergeCells count="40">
    <mergeCell ref="A51:C51"/>
    <mergeCell ref="A54:C54"/>
    <mergeCell ref="A57:C57"/>
    <mergeCell ref="A46:C46"/>
    <mergeCell ref="A47:C47"/>
    <mergeCell ref="A48:C48"/>
    <mergeCell ref="A49:C49"/>
    <mergeCell ref="A50:C50"/>
    <mergeCell ref="A33:C33"/>
    <mergeCell ref="A35:C35"/>
    <mergeCell ref="A36:C36"/>
    <mergeCell ref="A45:C45"/>
    <mergeCell ref="A42:C42"/>
    <mergeCell ref="A37:C37"/>
    <mergeCell ref="A41:C41"/>
    <mergeCell ref="A23:C23"/>
    <mergeCell ref="A24:C24"/>
    <mergeCell ref="A10:C10"/>
    <mergeCell ref="A21:C21"/>
    <mergeCell ref="A32:C32"/>
    <mergeCell ref="A26:C26"/>
    <mergeCell ref="A27:C27"/>
    <mergeCell ref="A28:C28"/>
    <mergeCell ref="A29:C29"/>
    <mergeCell ref="A58:P59"/>
    <mergeCell ref="A34:C34"/>
    <mergeCell ref="A1:L1"/>
    <mergeCell ref="M1:P1"/>
    <mergeCell ref="A2:P2"/>
    <mergeCell ref="A5:C5"/>
    <mergeCell ref="A9:C9"/>
    <mergeCell ref="A25:C25"/>
    <mergeCell ref="A12:C12"/>
    <mergeCell ref="A13:C13"/>
    <mergeCell ref="A14:C14"/>
    <mergeCell ref="A16:C16"/>
    <mergeCell ref="A17:C17"/>
    <mergeCell ref="A18:C18"/>
    <mergeCell ref="A19:C19"/>
    <mergeCell ref="A20:C20"/>
  </mergeCells>
  <printOptions horizontalCentered="1" verticalCentered="1"/>
  <pageMargins left="0" right="0" top="0" bottom="0" header="0" footer="0"/>
  <pageSetup scale="58" orientation="landscape" horizontalDpi="4294967293" verticalDpi="4294967293"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actual budget</vt:lpstr>
      <vt:lpstr>2022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Karen Gibbs</cp:lastModifiedBy>
  <cp:lastPrinted>2021-12-03T00:28:09Z</cp:lastPrinted>
  <dcterms:created xsi:type="dcterms:W3CDTF">2017-09-19T17:46:31Z</dcterms:created>
  <dcterms:modified xsi:type="dcterms:W3CDTF">2023-11-07T15:53:09Z</dcterms:modified>
</cp:coreProperties>
</file>